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evizabastosazz\Downloads\"/>
    </mc:Choice>
  </mc:AlternateContent>
  <xr:revisionPtr revIDLastSave="0" documentId="13_ncr:1_{66AE7BFE-F9EF-4D17-90EC-425AB206F175}" xr6:coauthVersionLast="47" xr6:coauthVersionMax="47" xr10:uidLastSave="{00000000-0000-0000-0000-000000000000}"/>
  <bookViews>
    <workbookView xWindow="-108" yWindow="-108" windowWidth="23256" windowHeight="12576" firstSheet="1" activeTab="2" xr2:uid="{00000000-000D-0000-FFFF-FFFF00000000}"/>
  </bookViews>
  <sheets>
    <sheet name="Budget Prep Guide" sheetId="4" r:id="rId1"/>
    <sheet name="Detailed Proposal Budget" sheetId="1" r:id="rId2"/>
    <sheet name="Course Buyout Calculator" sheetId="8" r:id="rId3"/>
    <sheet name="Travel Estimator" sheetId="5" r:id="rId4"/>
    <sheet name="Conference-Part. Suppt Budget" sheetId="6" r:id="rId5"/>
    <sheet name="Summary Budget" sheetId="7"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8" l="1"/>
  <c r="G16" i="1" s="1"/>
  <c r="G27" i="1" s="1"/>
  <c r="B3" i="8"/>
  <c r="B2" i="8"/>
  <c r="B1" i="8"/>
  <c r="S67" i="1"/>
  <c r="B20" i="7"/>
  <c r="F9" i="7"/>
  <c r="E9" i="7"/>
  <c r="D9" i="7"/>
  <c r="C9" i="7"/>
  <c r="B9" i="7"/>
  <c r="G9" i="7" s="1"/>
  <c r="A4" i="7"/>
  <c r="M16" i="1" l="1"/>
  <c r="M27" i="1" s="1"/>
  <c r="P16" i="1"/>
  <c r="P27" i="1" s="1"/>
  <c r="J16" i="1"/>
  <c r="J27" i="1" s="1"/>
  <c r="D16" i="1"/>
  <c r="D27" i="1" s="1"/>
  <c r="Q80" i="1"/>
  <c r="Q81" i="1"/>
  <c r="N80" i="1"/>
  <c r="N81" i="1"/>
  <c r="K80" i="1"/>
  <c r="K81" i="1"/>
  <c r="H80" i="1"/>
  <c r="H81" i="1"/>
  <c r="E80" i="1"/>
  <c r="E81" i="1"/>
  <c r="S54" i="1"/>
  <c r="S55" i="1"/>
  <c r="S56" i="1"/>
  <c r="S53" i="1"/>
  <c r="P57" i="1"/>
  <c r="M57" i="1"/>
  <c r="E11" i="7" s="1"/>
  <c r="J57" i="1"/>
  <c r="D11" i="7" s="1"/>
  <c r="G57" i="1"/>
  <c r="C11" i="7" s="1"/>
  <c r="D57" i="1"/>
  <c r="E20" i="6"/>
  <c r="J17" i="6"/>
  <c r="B17" i="6"/>
  <c r="H16" i="6"/>
  <c r="E16" i="6"/>
  <c r="F16" i="6" s="1"/>
  <c r="I16" i="6" s="1"/>
  <c r="K16" i="6" s="1"/>
  <c r="D16" i="6"/>
  <c r="H15" i="6"/>
  <c r="G15" i="6"/>
  <c r="E15" i="6"/>
  <c r="F15" i="6" s="1"/>
  <c r="I15" i="6" s="1"/>
  <c r="K15" i="6" s="1"/>
  <c r="D15" i="6"/>
  <c r="D17" i="6" s="1"/>
  <c r="G14" i="6"/>
  <c r="H14" i="6" s="1"/>
  <c r="H17" i="6" s="1"/>
  <c r="E14" i="6"/>
  <c r="F14" i="6" s="1"/>
  <c r="I14" i="6" s="1"/>
  <c r="K14" i="6" s="1"/>
  <c r="H13" i="6"/>
  <c r="G13" i="6"/>
  <c r="E13" i="6"/>
  <c r="F13" i="6" s="1"/>
  <c r="B8" i="6"/>
  <c r="I10" i="1"/>
  <c r="J19" i="1" s="1"/>
  <c r="I9" i="1"/>
  <c r="J18" i="1" s="1"/>
  <c r="I8" i="1"/>
  <c r="J17" i="1" s="1"/>
  <c r="S75" i="1"/>
  <c r="S74" i="1"/>
  <c r="S57" i="1" l="1"/>
  <c r="B11" i="7"/>
  <c r="F10" i="7"/>
  <c r="F11" i="7"/>
  <c r="M19" i="1"/>
  <c r="D19" i="1"/>
  <c r="D18" i="1"/>
  <c r="M18" i="1"/>
  <c r="D17" i="1"/>
  <c r="M17" i="1"/>
  <c r="G19" i="1"/>
  <c r="P19" i="1"/>
  <c r="G18" i="1"/>
  <c r="P18" i="1"/>
  <c r="G17" i="1"/>
  <c r="P17" i="1"/>
  <c r="F17" i="6"/>
  <c r="I13" i="6"/>
  <c r="K13" i="6" s="1"/>
  <c r="K17" i="6" s="1"/>
  <c r="I7" i="1"/>
  <c r="G11" i="7" l="1"/>
  <c r="J15" i="1"/>
  <c r="G15" i="1"/>
  <c r="P15" i="1"/>
  <c r="M15" i="1"/>
  <c r="D15" i="1"/>
  <c r="D26" i="1" s="1"/>
  <c r="G28" i="1"/>
  <c r="H13" i="5"/>
  <c r="H14" i="5"/>
  <c r="H15" i="5"/>
  <c r="H16" i="5"/>
  <c r="H17" i="5"/>
  <c r="H18" i="5"/>
  <c r="H21" i="5"/>
  <c r="H22" i="5"/>
  <c r="H23" i="5"/>
  <c r="H24" i="5"/>
  <c r="H25" i="5"/>
  <c r="J40" i="1" s="1"/>
  <c r="H26" i="5"/>
  <c r="H29" i="5"/>
  <c r="H30" i="5"/>
  <c r="H31" i="5"/>
  <c r="H32" i="5"/>
  <c r="H33" i="5"/>
  <c r="H34" i="5"/>
  <c r="H37" i="5"/>
  <c r="H38" i="5"/>
  <c r="H39" i="5"/>
  <c r="H40" i="5"/>
  <c r="H41" i="5"/>
  <c r="P40" i="1" s="1"/>
  <c r="H42" i="5"/>
  <c r="H5" i="5"/>
  <c r="H6" i="5"/>
  <c r="H7" i="5"/>
  <c r="H8" i="5"/>
  <c r="H9" i="5"/>
  <c r="H10" i="5"/>
  <c r="D28" i="1"/>
  <c r="G20" i="1"/>
  <c r="J20" i="1" s="1"/>
  <c r="P21" i="1"/>
  <c r="P32" i="1" s="1"/>
  <c r="T31" i="4"/>
  <c r="T29" i="4"/>
  <c r="P70" i="1"/>
  <c r="P69" i="1"/>
  <c r="P71" i="1"/>
  <c r="P72" i="1"/>
  <c r="M72" i="1"/>
  <c r="M71" i="1"/>
  <c r="M70" i="1"/>
  <c r="M69" i="1"/>
  <c r="P22" i="1"/>
  <c r="P33" i="1" s="1"/>
  <c r="M22" i="1"/>
  <c r="M33" i="1" s="1"/>
  <c r="M21" i="1"/>
  <c r="M32" i="1" s="1"/>
  <c r="J22" i="1"/>
  <c r="J33" i="1" s="1"/>
  <c r="J21" i="1"/>
  <c r="J32" i="1" s="1"/>
  <c r="J72" i="1"/>
  <c r="J71" i="1"/>
  <c r="J70" i="1"/>
  <c r="J69" i="1"/>
  <c r="G72" i="1"/>
  <c r="G71" i="1"/>
  <c r="G70" i="1"/>
  <c r="G69" i="1"/>
  <c r="N79" i="1"/>
  <c r="K79" i="1"/>
  <c r="H79" i="1"/>
  <c r="E79" i="1"/>
  <c r="Q79" i="1"/>
  <c r="D72" i="1"/>
  <c r="D71" i="1"/>
  <c r="D69" i="1"/>
  <c r="D70" i="1"/>
  <c r="D22" i="1"/>
  <c r="D33" i="1" s="1"/>
  <c r="D21" i="1"/>
  <c r="G21" i="1" s="1"/>
  <c r="D31" i="1"/>
  <c r="D30" i="1"/>
  <c r="D29" i="1"/>
  <c r="G62" i="1"/>
  <c r="J28" i="1"/>
  <c r="S66" i="1"/>
  <c r="D50" i="1"/>
  <c r="B10" i="7" s="1"/>
  <c r="P50" i="1"/>
  <c r="M50" i="1"/>
  <c r="E10" i="7" s="1"/>
  <c r="J50" i="1"/>
  <c r="D10" i="7" s="1"/>
  <c r="G50" i="1"/>
  <c r="C10" i="7" s="1"/>
  <c r="S49" i="1"/>
  <c r="S48" i="1"/>
  <c r="S47" i="1"/>
  <c r="S46" i="1"/>
  <c r="S43" i="1"/>
  <c r="B24" i="7" s="1"/>
  <c r="J60" i="1"/>
  <c r="G10" i="7" l="1"/>
  <c r="G40" i="1"/>
  <c r="D76" i="1"/>
  <c r="B12" i="7" s="1"/>
  <c r="G22" i="1"/>
  <c r="G33" i="1" s="1"/>
  <c r="S33" i="1" s="1"/>
  <c r="M40" i="1"/>
  <c r="D32" i="1"/>
  <c r="D34" i="1" s="1"/>
  <c r="B7" i="7" s="1"/>
  <c r="D40" i="1"/>
  <c r="S72" i="1"/>
  <c r="D39" i="1"/>
  <c r="H11" i="5"/>
  <c r="M39" i="1"/>
  <c r="G39" i="1"/>
  <c r="M60" i="1"/>
  <c r="G76" i="1"/>
  <c r="C12" i="7" s="1"/>
  <c r="G73" i="1"/>
  <c r="P39" i="1"/>
  <c r="J39" i="1"/>
  <c r="J41" i="1" s="1"/>
  <c r="D8" i="7" s="1"/>
  <c r="G26" i="1"/>
  <c r="D23" i="1"/>
  <c r="B6" i="7" s="1"/>
  <c r="S50" i="1"/>
  <c r="B27" i="7" s="1"/>
  <c r="G30" i="1"/>
  <c r="M73" i="1"/>
  <c r="S70" i="1"/>
  <c r="S69" i="1"/>
  <c r="S71" i="1"/>
  <c r="P73" i="1"/>
  <c r="H35" i="5"/>
  <c r="H19" i="5"/>
  <c r="J73" i="1"/>
  <c r="H43" i="5"/>
  <c r="H27" i="5"/>
  <c r="P28" i="1"/>
  <c r="J62" i="1"/>
  <c r="J76" i="1" s="1"/>
  <c r="D12" i="7" s="1"/>
  <c r="V79" i="1"/>
  <c r="M20" i="1"/>
  <c r="J31" i="1"/>
  <c r="S15" i="1"/>
  <c r="M26" i="1"/>
  <c r="G32" i="1"/>
  <c r="S21" i="1"/>
  <c r="D73" i="1"/>
  <c r="J26" i="1"/>
  <c r="G31" i="1"/>
  <c r="G41" i="1" l="1"/>
  <c r="C8" i="7" s="1"/>
  <c r="D41" i="1"/>
  <c r="B8" i="7" s="1"/>
  <c r="B13" i="7" s="1"/>
  <c r="S22" i="1"/>
  <c r="S32" i="1"/>
  <c r="S40" i="1"/>
  <c r="P60" i="1"/>
  <c r="S73" i="1"/>
  <c r="M62" i="1"/>
  <c r="P62" i="1" s="1"/>
  <c r="D36" i="1"/>
  <c r="D78" i="1" s="1"/>
  <c r="E82" i="1" s="1"/>
  <c r="S17" i="1"/>
  <c r="M28" i="1"/>
  <c r="S28" i="1" s="1"/>
  <c r="G29" i="1"/>
  <c r="G23" i="1"/>
  <c r="C6" i="7" s="1"/>
  <c r="M41" i="1"/>
  <c r="E8" i="7" s="1"/>
  <c r="P41" i="1"/>
  <c r="F8" i="7" s="1"/>
  <c r="M31" i="1"/>
  <c r="P20" i="1"/>
  <c r="P31" i="1" s="1"/>
  <c r="P26" i="1"/>
  <c r="G8" i="7" l="1"/>
  <c r="D84" i="1"/>
  <c r="B14" i="7" s="1"/>
  <c r="S62" i="1"/>
  <c r="B26" i="7" s="1"/>
  <c r="J30" i="1"/>
  <c r="P76" i="1"/>
  <c r="F12" i="7" s="1"/>
  <c r="S60" i="1"/>
  <c r="B25" i="7" s="1"/>
  <c r="M76" i="1"/>
  <c r="E12" i="7" s="1"/>
  <c r="S31" i="1"/>
  <c r="S41" i="1"/>
  <c r="B23" i="7" s="1"/>
  <c r="S20" i="1"/>
  <c r="J29" i="1"/>
  <c r="J23" i="1"/>
  <c r="D6" i="7" s="1"/>
  <c r="S39" i="1"/>
  <c r="G34" i="1"/>
  <c r="S26" i="1"/>
  <c r="M30" i="1"/>
  <c r="P30" i="1"/>
  <c r="G12" i="7" l="1"/>
  <c r="G36" i="1"/>
  <c r="G78" i="1" s="1"/>
  <c r="H82" i="1" s="1"/>
  <c r="C7" i="7"/>
  <c r="B15" i="7"/>
  <c r="S76" i="1"/>
  <c r="J34" i="1"/>
  <c r="S30" i="1"/>
  <c r="S19" i="1"/>
  <c r="M29" i="1"/>
  <c r="M23" i="1"/>
  <c r="E6" i="7" s="1"/>
  <c r="D86" i="1"/>
  <c r="J36" i="1" l="1"/>
  <c r="J78" i="1" s="1"/>
  <c r="K82" i="1" s="1"/>
  <c r="J84" i="1" s="1"/>
  <c r="D7" i="7"/>
  <c r="D13" i="7" s="1"/>
  <c r="C13" i="7"/>
  <c r="P29" i="1"/>
  <c r="P34" i="1" s="1"/>
  <c r="F7" i="7" s="1"/>
  <c r="P23" i="1"/>
  <c r="S18" i="1"/>
  <c r="M34" i="1"/>
  <c r="E7" i="7" s="1"/>
  <c r="E13" i="7" s="1"/>
  <c r="G84" i="1"/>
  <c r="J86" i="1" l="1"/>
  <c r="D14" i="7"/>
  <c r="D15" i="7" s="1"/>
  <c r="S23" i="1"/>
  <c r="B21" i="7" s="1"/>
  <c r="F6" i="7"/>
  <c r="G86" i="1"/>
  <c r="C14" i="7"/>
  <c r="C15" i="7" s="1"/>
  <c r="G7" i="7"/>
  <c r="S34" i="1"/>
  <c r="B22" i="7" s="1"/>
  <c r="P36" i="1"/>
  <c r="P78" i="1" s="1"/>
  <c r="Q82" i="1" s="1"/>
  <c r="S29" i="1"/>
  <c r="M36" i="1"/>
  <c r="M78" i="1" s="1"/>
  <c r="N82" i="1" s="1"/>
  <c r="F13" i="7" l="1"/>
  <c r="G6" i="7"/>
  <c r="B28" i="7"/>
  <c r="S78" i="1"/>
  <c r="S36" i="1"/>
  <c r="P84" i="1"/>
  <c r="P86" i="1" l="1"/>
  <c r="F14" i="7"/>
  <c r="F15" i="7" s="1"/>
  <c r="G13" i="7"/>
  <c r="M84" i="1"/>
  <c r="S84" i="1" l="1"/>
  <c r="B29" i="7" s="1"/>
  <c r="B30" i="7" s="1"/>
  <c r="E14" i="7"/>
  <c r="M86" i="1"/>
  <c r="S86" i="1" s="1"/>
  <c r="E15" i="7" l="1"/>
  <c r="G14" i="7"/>
  <c r="G1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Lawler, Erica M</author>
    <author>tc={B77C45A4-8D5B-4E23-961B-AD3E9895C494}</author>
    <author>tc={D98DD6D0-ABF5-4D8C-8676-13341879C692}</author>
    <author>tc={A8330061-8BCD-46AA-8917-AA81612F023A}</author>
    <author>tc={20A3BCA8-7852-47FB-AD82-7925C0E7F8D3}</author>
  </authors>
  <commentList>
    <comment ref="H7" authorId="0" shapeId="0" xr:uid="{00000000-0006-0000-0100-000001000000}">
      <text>
        <r>
          <rPr>
            <b/>
            <sz val="9"/>
            <color indexed="81"/>
            <rFont val="Tahoma"/>
            <family val="2"/>
          </rPr>
          <t>Lawler, Erica M:</t>
        </r>
        <r>
          <rPr>
            <sz val="9"/>
            <color indexed="81"/>
            <rFont val="Tahoma"/>
            <family val="2"/>
          </rPr>
          <t xml:space="preserve">
Enter contract salary</t>
        </r>
      </text>
    </comment>
    <comment ref="I7" authorId="0" shapeId="0" xr:uid="{00000000-0006-0000-0100-000002000000}">
      <text>
        <r>
          <rPr>
            <b/>
            <sz val="9"/>
            <color indexed="81"/>
            <rFont val="Tahoma"/>
            <family val="2"/>
          </rPr>
          <t>Lawler, Erica M:</t>
        </r>
        <r>
          <rPr>
            <sz val="9"/>
            <color indexed="81"/>
            <rFont val="Tahoma"/>
            <family val="2"/>
          </rPr>
          <t xml:space="preserve">
Divide by 9 for ACAD (instructional faculty) or 12 for CAL (research faculty)</t>
        </r>
      </text>
    </comment>
    <comment ref="C15" authorId="0" shapeId="0" xr:uid="{00000000-0006-0000-0100-000003000000}">
      <text>
        <r>
          <rPr>
            <b/>
            <sz val="9"/>
            <color indexed="81"/>
            <rFont val="Tahoma"/>
            <family val="2"/>
          </rPr>
          <t>Lawler, Erica M:</t>
        </r>
        <r>
          <rPr>
            <sz val="9"/>
            <color indexed="81"/>
            <rFont val="Tahoma"/>
            <family val="2"/>
          </rPr>
          <t xml:space="preserve">
PI effort in months
</t>
        </r>
      </text>
    </comment>
    <comment ref="C16" authorId="1" shapeId="0" xr:uid="{B77C45A4-8D5B-4E23-961B-AD3E9895C494}">
      <text>
        <t>[Threaded comment]
Your version of Excel allows you to read this threaded comment; however, any edits to it will get removed if the file is opened in a newer version of Excel. Learn more: https://go.microsoft.com/fwlink/?linkid=870924
Comment:
    Enter number of course buyouts needed for project year</t>
      </text>
    </comment>
    <comment ref="A46" authorId="0" shapeId="0" xr:uid="{00000000-0006-0000-0100-000004000000}">
      <text>
        <r>
          <rPr>
            <b/>
            <sz val="9"/>
            <color indexed="81"/>
            <rFont val="Tahoma"/>
            <family val="2"/>
          </rPr>
          <t>Lawler, Erica M:</t>
        </r>
        <r>
          <rPr>
            <sz val="9"/>
            <color indexed="81"/>
            <rFont val="Tahoma"/>
            <family val="2"/>
          </rPr>
          <t xml:space="preserve">
Awards &amp; Prizes code, probably not quite right</t>
        </r>
      </text>
    </comment>
    <comment ref="A47" authorId="0" shapeId="0" xr:uid="{00000000-0006-0000-0100-000005000000}">
      <text>
        <r>
          <rPr>
            <b/>
            <sz val="9"/>
            <color indexed="81"/>
            <rFont val="Tahoma"/>
            <family val="2"/>
          </rPr>
          <t>Lawler, Erica M:</t>
        </r>
        <r>
          <rPr>
            <sz val="9"/>
            <color indexed="81"/>
            <rFont val="Tahoma"/>
            <family val="2"/>
          </rPr>
          <t xml:space="preserve">
Grant Participant code for public carrier</t>
        </r>
      </text>
    </comment>
    <comment ref="A48" authorId="0" shapeId="0" xr:uid="{00000000-0006-0000-0100-000006000000}">
      <text>
        <r>
          <rPr>
            <b/>
            <sz val="9"/>
            <color indexed="81"/>
            <rFont val="Tahoma"/>
            <family val="2"/>
          </rPr>
          <t>Lawler, Erica M:</t>
        </r>
        <r>
          <rPr>
            <sz val="9"/>
            <color indexed="81"/>
            <rFont val="Tahoma"/>
            <family val="2"/>
          </rPr>
          <t xml:space="preserve">
Grant Participant Code for lodging, 712881 is for M&amp;IE</t>
        </r>
      </text>
    </comment>
    <comment ref="B53" authorId="2" shapeId="0" xr:uid="{D98DD6D0-ABF5-4D8C-8676-13341879C692}">
      <text>
        <t>[Threaded comment]
Your version of Excel allows you to read this threaded comment; however, any edits to it will get removed if the file is opened in a newer version of Excel. Learn more: https://go.microsoft.com/fwlink/?linkid=870924
Comment:
    Rates can be found here: https://www.wm.edu/offices/residencelife/oncampus/roomselection-housingassignments-contracts/roomselection/summerhousing/undergraduate/index.php</t>
      </text>
    </comment>
    <comment ref="A63" authorId="3" shapeId="0" xr:uid="{A8330061-8BCD-46AA-8917-AA81612F023A}">
      <text>
        <t>[Threaded comment]
Your version of Excel allows you to read this threaded comment; however, any edits to it will get removed if the file is opened in a newer version of Excel. Learn more: https://go.microsoft.com/fwlink/?linkid=870924
Comment:
    712685 for State Agcy sub ptner</t>
      </text>
    </comment>
    <comment ref="D63" authorId="0" shapeId="0" xr:uid="{00000000-0006-0000-0100-000009000000}">
      <text>
        <r>
          <rPr>
            <b/>
            <sz val="9"/>
            <color indexed="81"/>
            <rFont val="Tahoma"/>
            <family val="2"/>
          </rPr>
          <t>Lawler, Erica M:</t>
        </r>
        <r>
          <rPr>
            <sz val="9"/>
            <color indexed="81"/>
            <rFont val="Tahoma"/>
            <family val="2"/>
          </rPr>
          <t xml:space="preserve">
Enter the amount to be paid to your sub in year one, not the cumulative amount.</t>
        </r>
      </text>
    </comment>
    <comment ref="A67" authorId="4" shapeId="0" xr:uid="{20A3BCA8-7852-47FB-AD82-7925C0E7F8D3}">
      <text>
        <t>[Threaded comment]
Your version of Excel allows you to read this threaded comment; however, any edits to it will get removed if the file is opened in a newer version of Excel. Learn more: https://go.microsoft.com/fwlink/?linkid=870924
Comment:
    Special Consultant Services Code</t>
      </text>
    </comment>
    <comment ref="A69" authorId="0" shapeId="0" xr:uid="{00000000-0006-0000-0100-00000A000000}">
      <text>
        <r>
          <rPr>
            <b/>
            <sz val="9"/>
            <color indexed="81"/>
            <rFont val="Tahoma"/>
            <family val="2"/>
          </rPr>
          <t>Lawler, Erica M:</t>
        </r>
        <r>
          <rPr>
            <sz val="9"/>
            <color indexed="81"/>
            <rFont val="Tahoma"/>
            <family val="2"/>
          </rPr>
          <t xml:space="preserve">
714210 can be used for Graduate Scholarships. Both codes are excluded from MTDC F&amp;A calc.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tc={33F6E753-0833-493D-9C16-2A819FE7842F}</author>
  </authors>
  <commentList>
    <comment ref="B4" authorId="0" shapeId="0" xr:uid="{33F6E753-0833-493D-9C16-2A819FE7842F}">
      <text>
        <t>[Threaded comment]
Your version of Excel allows you to read this threaded comment; however, any edits to it will get removed if the file is opened in a newer version of Excel. Learn more: https://go.microsoft.com/fwlink/?linkid=870924
Comment:
    Total courses taught fall + spring</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Lawler, Erica M</author>
  </authors>
  <commentList>
    <comment ref="B2" authorId="0" shapeId="0" xr:uid="{91D9C549-C839-44EB-B86F-AF61600F222A}">
      <text>
        <r>
          <rPr>
            <b/>
            <sz val="9"/>
            <color indexed="81"/>
            <rFont val="Tahoma"/>
            <family val="2"/>
          </rPr>
          <t>Lawler, Erica M:</t>
        </r>
        <r>
          <rPr>
            <sz val="9"/>
            <color indexed="81"/>
            <rFont val="Tahoma"/>
            <family val="2"/>
          </rPr>
          <t xml:space="preserve">
This cell feeds into Participant Support Calculations below
</t>
        </r>
      </text>
    </comment>
    <comment ref="B3" authorId="0" shapeId="0" xr:uid="{B4833D4A-E0C6-45C4-8C8C-6F152DA382C6}">
      <text>
        <r>
          <rPr>
            <b/>
            <sz val="9"/>
            <color indexed="81"/>
            <rFont val="Tahoma"/>
            <family val="2"/>
          </rPr>
          <t>Lawler, Erica M:</t>
        </r>
        <r>
          <rPr>
            <sz val="9"/>
            <color indexed="81"/>
            <rFont val="Tahoma"/>
            <family val="2"/>
          </rPr>
          <t xml:space="preserve">
Check for College-owned conference locations before seeking outside location</t>
        </r>
      </text>
    </comment>
    <comment ref="B4" authorId="0" shapeId="0" xr:uid="{BA4CE6F9-AADC-4198-A135-D43204CC8019}">
      <text>
        <r>
          <rPr>
            <b/>
            <sz val="9"/>
            <color indexed="81"/>
            <rFont val="Tahoma"/>
            <family val="2"/>
          </rPr>
          <t>Lawler, Erica M:</t>
        </r>
        <r>
          <rPr>
            <sz val="9"/>
            <color indexed="81"/>
            <rFont val="Tahoma"/>
            <family val="2"/>
          </rPr>
          <t xml:space="preserve">
If special arrangements are needed for display of conference materials or interactive sessions, put costs here.</t>
        </r>
      </text>
    </comment>
    <comment ref="I4" authorId="0" shapeId="0" xr:uid="{0EB34016-453F-46A6-9DA7-B23EA1EAAB30}">
      <text>
        <r>
          <rPr>
            <b/>
            <sz val="9"/>
            <color indexed="81"/>
            <rFont val="Tahoma"/>
            <family val="2"/>
          </rPr>
          <t>Lawler, Erica M:</t>
        </r>
        <r>
          <rPr>
            <sz val="9"/>
            <color indexed="81"/>
            <rFont val="Tahoma"/>
            <family val="2"/>
          </rPr>
          <t xml:space="preserve">
Williamsburg, VA rate used. Alternate rate for high-season months is $104.</t>
        </r>
      </text>
    </comment>
    <comment ref="B5" authorId="0" shapeId="0" xr:uid="{1B40AF65-3DD9-424A-89D4-C19DF4D14BD3}">
      <text>
        <r>
          <rPr>
            <b/>
            <sz val="9"/>
            <color indexed="81"/>
            <rFont val="Tahoma"/>
            <family val="2"/>
          </rPr>
          <t>Lawler, Erica M:</t>
        </r>
        <r>
          <rPr>
            <sz val="9"/>
            <color indexed="81"/>
            <rFont val="Tahoma"/>
            <family val="2"/>
          </rPr>
          <t xml:space="preserve">
Include costs for all attendees except federal employees if conference is federally funded.</t>
        </r>
      </text>
    </comment>
    <comment ref="B6" authorId="0" shapeId="0" xr:uid="{38D42B19-68C1-4761-8BCD-3487DD7A501B}">
      <text>
        <r>
          <rPr>
            <b/>
            <sz val="9"/>
            <color indexed="81"/>
            <rFont val="Tahoma"/>
            <family val="2"/>
          </rPr>
          <t>Lawler, Erica M:</t>
        </r>
        <r>
          <rPr>
            <sz val="9"/>
            <color indexed="81"/>
            <rFont val="Tahoma"/>
            <family val="2"/>
          </rPr>
          <t xml:space="preserve">
Include papers to be disseminated and special print services (posters, signage, etc)</t>
        </r>
      </text>
    </comment>
    <comment ref="I6" authorId="0" shapeId="0" xr:uid="{F06B0760-D3A2-4F78-BE6C-37E0DC0BE06D}">
      <text>
        <r>
          <rPr>
            <b/>
            <sz val="9"/>
            <color indexed="81"/>
            <rFont val="Tahoma"/>
            <family val="2"/>
          </rPr>
          <t>Lawler, Erica M:</t>
        </r>
        <r>
          <rPr>
            <sz val="9"/>
            <color indexed="81"/>
            <rFont val="Tahoma"/>
            <family val="2"/>
          </rPr>
          <t xml:space="preserve">
Effective 01 January 2018</t>
        </r>
      </text>
    </comment>
    <comment ref="B7" authorId="0" shapeId="0" xr:uid="{2A9E184F-47A2-4F89-A004-EC370780CAD0}">
      <text>
        <r>
          <rPr>
            <b/>
            <sz val="9"/>
            <color indexed="81"/>
            <rFont val="Tahoma"/>
            <family val="2"/>
          </rPr>
          <t>Lawler, Erica M:</t>
        </r>
        <r>
          <rPr>
            <sz val="9"/>
            <color indexed="81"/>
            <rFont val="Tahoma"/>
            <family val="2"/>
          </rPr>
          <t xml:space="preserve">
Folders, name tags, pens, etc.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tc={79F0FB5A-A9AD-43B2-9770-4B88D4766B24}</author>
    <author>tc={C6E833A4-6549-4756-AD3F-A3AC9BD41DEE}</author>
  </authors>
  <commentList>
    <comment ref="A4" authorId="0" shapeId="0" xr:uid="{79F0FB5A-A9AD-43B2-9770-4B88D4766B24}">
      <text>
        <t>[Threaded comment]
Your version of Excel allows you to read this threaded comment; however, any edits to it will get removed if the file is opened in a newer version of Excel. Learn more: https://go.microsoft.com/fwlink/?linkid=870924
Comment:
    Will populate project title from detailed proposal budget</t>
      </text>
    </comment>
    <comment ref="B20" authorId="1" shapeId="0" xr:uid="{C6E833A4-6549-4756-AD3F-A3AC9BD41DEE}">
      <text>
        <t>[Threaded comment]
Your version of Excel allows you to read this threaded comment; however, any edits to it will get removed if the file is opened in a newer version of Excel. Learn more: https://go.microsoft.com/fwlink/?linkid=870924
Comment:
    Will populate project title from detailed proposal budget tab</t>
      </text>
    </comment>
  </commentList>
</comments>
</file>

<file path=xl/sharedStrings.xml><?xml version="1.0" encoding="utf-8"?>
<sst xmlns="http://schemas.openxmlformats.org/spreadsheetml/2006/main" count="325" uniqueCount="272">
  <si>
    <t>Section A: Personnel</t>
  </si>
  <si>
    <t>New categories this budget version</t>
  </si>
  <si>
    <r>
      <rPr>
        <b/>
        <sz val="10"/>
        <rFont val="Arial"/>
        <family val="2"/>
      </rPr>
      <t>PI Salary</t>
    </r>
    <r>
      <rPr>
        <sz val="10"/>
        <rFont val="Arial"/>
        <family val="2"/>
      </rPr>
      <t xml:space="preserve">- Based on salary amount from NBAJOBS, calculate monthly salary amount. For Academic faculty, it will be the amount listed divided by nine. For research (calendar) faculty, it will be the </t>
    </r>
  </si>
  <si>
    <t>amount listed divided by 12.</t>
  </si>
  <si>
    <r>
      <rPr>
        <b/>
        <sz val="10"/>
        <rFont val="Arial"/>
        <family val="2"/>
      </rPr>
      <t>Other faculty</t>
    </r>
    <r>
      <rPr>
        <sz val="10"/>
        <rFont val="Arial"/>
        <family val="2"/>
      </rPr>
      <t>- same calculation as above.</t>
    </r>
  </si>
  <si>
    <r>
      <rPr>
        <b/>
        <sz val="10"/>
        <rFont val="Arial"/>
        <family val="2"/>
      </rPr>
      <t>Wage Employee/Technician-</t>
    </r>
    <r>
      <rPr>
        <sz val="10"/>
        <rFont val="Arial"/>
        <family val="2"/>
      </rPr>
      <t xml:space="preserve"> This includes Post Docs. Please be sure to note in the budget and justification that this is a post-doc position. Minimum hourly wage is $15.50</t>
    </r>
  </si>
  <si>
    <r>
      <rPr>
        <b/>
        <sz val="10"/>
        <rFont val="Arial"/>
        <family val="2"/>
      </rPr>
      <t>Graduate Student-</t>
    </r>
    <r>
      <rPr>
        <sz val="10"/>
        <rFont val="Arial"/>
        <family val="2"/>
      </rPr>
      <t xml:space="preserve"> This rate is determined by your department. Graduate students may have 1 of 2 effort levels- 50% year-round, or 50% Academic and 100% summer.</t>
    </r>
  </si>
  <si>
    <r>
      <rPr>
        <b/>
        <sz val="10"/>
        <rFont val="Arial"/>
        <family val="2"/>
      </rPr>
      <t>Undergraduate Student</t>
    </r>
    <r>
      <rPr>
        <sz val="10"/>
        <rFont val="Arial"/>
        <family val="2"/>
      </rPr>
      <t>- Student minimum wage is $12, but your department may pay more than this as the going rate for undergraduate labor. Check with the Chair or Dean.</t>
    </r>
  </si>
  <si>
    <r>
      <t xml:space="preserve">***Course buyout- </t>
    </r>
    <r>
      <rPr>
        <sz val="10"/>
        <rFont val="Arial"/>
        <family val="2"/>
      </rPr>
      <t>Course buyout amounts should appear under the salary category. If a course buyout is requested, your Chair and Dean will likely be involved in determining the amount needed</t>
    </r>
  </si>
  <si>
    <t>to teach your course(s) during your research effort. Course buyouts require special care and consideration, so be sure to determine this well in advance of the proposal deadline.</t>
  </si>
  <si>
    <t>Section B: Fringes</t>
  </si>
  <si>
    <r>
      <t xml:space="preserve">FICA Only- </t>
    </r>
    <r>
      <rPr>
        <sz val="10"/>
        <rFont val="Arial"/>
        <family val="2"/>
      </rPr>
      <t xml:space="preserve">7.65% at this time. This covers Social Security and Medicare. </t>
    </r>
  </si>
  <si>
    <r>
      <t>Full Benefits-</t>
    </r>
    <r>
      <rPr>
        <sz val="10"/>
        <rFont val="Arial"/>
        <family val="2"/>
      </rPr>
      <t xml:space="preserve"> 40% is the flat rate recommended by the College to cover health insurance, disability insurance, and the other benefits listed on the Fringe Worksheet tab. If you have an entry-level wage</t>
    </r>
  </si>
  <si>
    <t xml:space="preserve">employee on a project, a higher fringe rate may be needed to cover the cost of benefits. Conversely, highly-compensated research faculty may need a lower rate to cover full benefits. </t>
  </si>
  <si>
    <t>Alternatively, you may use actual fringe rates for known staff if appliable to your project.</t>
  </si>
  <si>
    <t>Fringe Application</t>
  </si>
  <si>
    <t>Academic Year</t>
  </si>
  <si>
    <t>Faculty- Full benefits UNLESS work is considered overload or external paid employment. Then FICA only.</t>
  </si>
  <si>
    <t>Post Docs &amp; Wage- Full benefits</t>
  </si>
  <si>
    <t>Students- No benefits</t>
  </si>
  <si>
    <t>Summer Term</t>
  </si>
  <si>
    <t>Faculty- 12 month faculty: Full benefits UNLESS work is considered overload or external paid employment. Then FICA only.</t>
  </si>
  <si>
    <t>Faculty- 9 month faculty: FICA only</t>
  </si>
  <si>
    <t>Students- FICA only. If a student is enrolled at least half time, then no benefits at all.</t>
  </si>
  <si>
    <t>Section C: Travel</t>
  </si>
  <si>
    <t>FOR INFORMATION REGARDING CURRENT TRAVEL REGULATIONS, VISIT: http://www.wm.edu/offices/financialoperations/travel/index.php</t>
  </si>
  <si>
    <t>Domestic Travel-</t>
  </si>
  <si>
    <t>Travel must adhere to both state and federal guidelines. Travel within Virginia is capped at $77 for lodging and $41 for Meals &amp; Incidental expenses. Travel out of state- use GSA rates.</t>
  </si>
  <si>
    <t>Costs to consider when estimating travel include ground and air transportation (don't forget baggage fees), mileage rates if driving (generally 57.5 cents per mile), conference registration, lodging, and M&amp;IE.</t>
  </si>
  <si>
    <t>Foreign Travel-</t>
  </si>
  <si>
    <t>Foreign travel typically requires a more detailed cost estimate than does somestic travel. The State Department keeps an updated rate table based on month of travel to a specific destination.</t>
  </si>
  <si>
    <t>Be sure to use this table when coming up with your foreign travel budget. There are requirements pertaining to air carrier when traveling overseas. American carriers must be used unless specific criteria are met.</t>
  </si>
  <si>
    <t>Costs to consider when estimating foreign travel include the standard travel considerations as well as visa fees, medical clearances/treatment prior to travel, CISI coverage, and currency exchange fees. Costs associated with obtaining a passport are not allowable.</t>
  </si>
  <si>
    <t>Ground Transport/Other column may be used to capture conference registration, visa fees, CISI coverage, and pre-trip vaccinations/innoculations.</t>
  </si>
  <si>
    <t>Section D: Equipment</t>
  </si>
  <si>
    <r>
      <t>Equipment-</t>
    </r>
    <r>
      <rPr>
        <sz val="10"/>
        <rFont val="Arial"/>
        <family val="2"/>
      </rPr>
      <t xml:space="preserve"> The threshold for equipment is $5,000. Computers are not considered equipment items unless they are part of a larger server or computing system, such as a GPS tagging and tracking device.</t>
    </r>
  </si>
  <si>
    <t>Components that assemble to a value that exceeds $5,000 but individually are valued below the threshold are to be considered part of the equipment category. For example, if you are building a supercapacitor, all parts</t>
  </si>
  <si>
    <t>including copper fittings, gaskets, pumps, etc. may be grouped under the equipment category. If you have a price quote from a vendor that itemizes equipment component costs, this can be used to supplement the budget</t>
  </si>
  <si>
    <t>justification for equipment.</t>
  </si>
  <si>
    <t>Section E: Participant Support Costs</t>
  </si>
  <si>
    <t>This category is generally reserved for proposals that will support the costs of hosting a conference and/or research study incentives.</t>
  </si>
  <si>
    <t>Stipends</t>
  </si>
  <si>
    <t>Traineeship stipends for participation in the planned program. Honraria for program speakers can only be included here if the primary purpose of the attendee's participation is learning and training. Individuals whose purpose is to speak and support management of the conference/evnt must be put in Other Direct Costs</t>
  </si>
  <si>
    <t>Travel</t>
  </si>
  <si>
    <t>If paying for travel costs so that participants may attend a conference or training session, budget those costs here (ground/air transport, bus tickets, parking vouchers, etc.)</t>
  </si>
  <si>
    <t>Subsistence</t>
  </si>
  <si>
    <t>If paying for lodging and/or food at a conference, budget those costs here. Ex: 1 week long summer camp for high school students interested in Physics. Put housing and meals here.</t>
  </si>
  <si>
    <t>Other</t>
  </si>
  <si>
    <t>This category can cover registration fees paid on behalf of participants, nominal value gifts such as memorabilia (coffee cups, souvenir pens) provided to conference/training attendees, and potentially dependent care benefits to encourage participation in a planned training or conference event IF Accounts Payable authorizes a process for this.</t>
  </si>
  <si>
    <t>Auxiliary Services Costs</t>
  </si>
  <si>
    <t>Campus Housing</t>
  </si>
  <si>
    <t>Rates: https://www.wm.edu/offices/residencelife/oncampus/roomselection-housingassignments-contracts/roomselection/summerhousing/undergraduate/index.php</t>
  </si>
  <si>
    <t>Section F: Other Direct Costs</t>
  </si>
  <si>
    <t>Materials &amp; Supplies</t>
  </si>
  <si>
    <t>Consumables and items falling below the $5,000 equipment threshold. Include costs of reference materials in this line item.</t>
  </si>
  <si>
    <t>Lab Safety Supplies</t>
  </si>
  <si>
    <t>PPE, Lab coats, goggles, disposable gloves, and other safety-related supplies</t>
  </si>
  <si>
    <t>Publication Costs</t>
  </si>
  <si>
    <t>Printing services, ex: posters, handouts for a conference, specialized printing services (creation of maps, brochures, CDs), publication fee for appearing in a journal. Third party costs; category is not for purchase of reference materials or other print items</t>
  </si>
  <si>
    <t>Sub-recipient</t>
  </si>
  <si>
    <t>If you have more than three sub-recipients, please contact OSP to have the worksheet updated so that each lower-tier award is correctly incuded in the F&amp;A calculation</t>
  </si>
  <si>
    <t>Contractual Services</t>
  </si>
  <si>
    <t>Vendors engaged through Procurement, Legal services, evaluation services, Velocity payroll management, Pilots, Bank charges for wire transfers, all go here.</t>
  </si>
  <si>
    <t>Consultant</t>
  </si>
  <si>
    <t>This line is for individual consultants (specialist knowledge) who are brought in to work on a project. This line item is separate from cont'l svcs for the purposes of the SF_424-A budget</t>
  </si>
  <si>
    <t>Lab Safety Services</t>
  </si>
  <si>
    <t>Biohazard disposal, contaminant testing, specialized laboratory cleaning services</t>
  </si>
  <si>
    <t>Tuition</t>
  </si>
  <si>
    <t>Tuition for graduate students. Use the table at the top of the worksheet to enter the per student amount of tuition. The worksheet will autopopulate this field based on the # of students indicated for the year.</t>
  </si>
  <si>
    <t>Grad Health Ins</t>
  </si>
  <si>
    <t>Use the table at the top of the worksheet</t>
  </si>
  <si>
    <t>Health Center</t>
  </si>
  <si>
    <t>If your department covers this fee, put the dollar amount in the grad student table</t>
  </si>
  <si>
    <t>Rec Center</t>
  </si>
  <si>
    <t>Incentives</t>
  </si>
  <si>
    <t>(G6 for NSF)</t>
  </si>
  <si>
    <t>This category may be used to cover research subjects payments (incentives) for participation in a study. Ex: 20 students will take a survey about study behavior and receive $5 for completion. $100 should be budgeted.</t>
  </si>
  <si>
    <t>Honoraria</t>
  </si>
  <si>
    <t>This category is for speakers whose primary purpose at a conference or training event is to share their knowledge, present to attendees, and support management of a conference such as through panel moderation. Should not be paid to W&amp;M employees.</t>
  </si>
  <si>
    <t>Facilities &amp; Administrative Costs (F&amp;A)</t>
  </si>
  <si>
    <t>Our Rate:</t>
  </si>
  <si>
    <t xml:space="preserve">F&amp;A is negotiated on a biennial basis. Our cognizant agency is the Office of Naval Research and is 50.7% of Modified Total Direct Costs. </t>
  </si>
  <si>
    <t>MTDC = Total direct Costs - tuition, equipment, participant support costs, health and rec center fees, and the value of each sub-award exceeding $25,000. If you have two sub-recipients receiving $30,000 each year for three years,</t>
  </si>
  <si>
    <t>F&amp;A will only be collected on the first $25,000 in expenses on each sub-award.</t>
  </si>
  <si>
    <r>
      <t xml:space="preserve">Deviations from standard rate: </t>
    </r>
    <r>
      <rPr>
        <sz val="10"/>
        <rFont val="Arial"/>
        <family val="2"/>
      </rPr>
      <t>Deviations must be approved by the Vice Provost for research prior to submission. If a funding source limits F&amp;A to 10%, we may elect to apply the revised rate to all direct costs rather than</t>
    </r>
  </si>
  <si>
    <t xml:space="preserve">just MTDC. Work with your grants administrator in cases of rate deviation. Many foundations limit F&amp;A but full F&amp;A must be applied to all federally funded programs unless the RFA or RFP places a specific restriction. </t>
  </si>
  <si>
    <t>Example of federally-funded F&amp;A limited program: NSF REU supplements, US FWS Challenge cost share grants</t>
  </si>
  <si>
    <t>Faculty Salary escalator</t>
  </si>
  <si>
    <t>Fringe Assumption: 7.65% for salaries.  Adjustment may be required.</t>
  </si>
  <si>
    <t>excluded from F&amp;A</t>
  </si>
  <si>
    <t>Student Salary escalator</t>
  </si>
  <si>
    <t>Student FICA should only be charged for summer effort, unless enrolled part-time in classes.</t>
  </si>
  <si>
    <t>$25k cap for F&amp;A</t>
  </si>
  <si>
    <t>Tuition Escalator</t>
  </si>
  <si>
    <t>Workbook assumes Graduate Students are working full-time over the summer.</t>
  </si>
  <si>
    <t>Health Escalator</t>
  </si>
  <si>
    <t>F&amp;A (indirect)</t>
  </si>
  <si>
    <t>Travel and Other Escalator</t>
  </si>
  <si>
    <t>Principal Investigator</t>
  </si>
  <si>
    <t>PI Salary</t>
  </si>
  <si>
    <t>PI Mo. Salary</t>
  </si>
  <si>
    <t>Student Support Level</t>
  </si>
  <si>
    <t>Sponsor</t>
  </si>
  <si>
    <t>PI 9 month</t>
  </si>
  <si>
    <t>Graduate Stipend:</t>
  </si>
  <si>
    <t>Undergrad:</t>
  </si>
  <si>
    <t>Title</t>
  </si>
  <si>
    <t>Post Doc</t>
  </si>
  <si>
    <t>Grad Tuition:</t>
  </si>
  <si>
    <t>Grad Hlth Ctr Fee</t>
  </si>
  <si>
    <t>Award Number</t>
  </si>
  <si>
    <t>Leave Blank until funded</t>
  </si>
  <si>
    <t>Faculty 1</t>
  </si>
  <si>
    <t>Grad Health:</t>
  </si>
  <si>
    <t>Grad Rec Ctr Fee</t>
  </si>
  <si>
    <t>Grant Number</t>
  </si>
  <si>
    <t>Faculty 2</t>
  </si>
  <si>
    <t>Acct Code</t>
  </si>
  <si>
    <t>FY24</t>
  </si>
  <si>
    <t>FY25</t>
  </si>
  <si>
    <t>FY26</t>
  </si>
  <si>
    <t>FY27</t>
  </si>
  <si>
    <t>FY28</t>
  </si>
  <si>
    <t>total</t>
  </si>
  <si>
    <t>Personnel</t>
  </si>
  <si>
    <t>Salary</t>
  </si>
  <si>
    <t># Mo or students</t>
  </si>
  <si>
    <t>PI</t>
  </si>
  <si>
    <t>PI Course Buyout</t>
  </si>
  <si>
    <t>Faculty</t>
  </si>
  <si>
    <t>Wage Employee (technician, etc.)</t>
  </si>
  <si>
    <t>Graduate Student</t>
  </si>
  <si>
    <t>Undergraduate Student</t>
  </si>
  <si>
    <t>total salary</t>
  </si>
  <si>
    <t>Fringe</t>
  </si>
  <si>
    <r>
      <t>PI Course Buyout (</t>
    </r>
    <r>
      <rPr>
        <b/>
        <sz val="10"/>
        <rFont val="Arial"/>
        <family val="2"/>
      </rPr>
      <t>NO FRINGE</t>
    </r>
    <r>
      <rPr>
        <sz val="10"/>
        <rFont val="Arial"/>
        <family val="2"/>
      </rPr>
      <t>)</t>
    </r>
  </si>
  <si>
    <t>Wage Employee (technician etc.)</t>
  </si>
  <si>
    <t>total fringe</t>
  </si>
  <si>
    <t>Total Personnel</t>
  </si>
  <si>
    <t>Domestic</t>
  </si>
  <si>
    <t>Foreign</t>
  </si>
  <si>
    <t>total travel</t>
  </si>
  <si>
    <t>Equipment</t>
  </si>
  <si>
    <t>Participant Support</t>
  </si>
  <si>
    <t>total part supp</t>
  </si>
  <si>
    <t>Auxiliary Services/Recoveries</t>
  </si>
  <si>
    <t>Campus Housing (term)</t>
  </si>
  <si>
    <t>State-owned fleet (daily)</t>
  </si>
  <si>
    <t>State-owned vessels (daily)</t>
  </si>
  <si>
    <t>Other Service Recovery</t>
  </si>
  <si>
    <t xml:space="preserve">total Auxiliary </t>
  </si>
  <si>
    <t>Other Direct Costs</t>
  </si>
  <si>
    <t>Materials</t>
  </si>
  <si>
    <t>Laboratory Safety Supplies</t>
  </si>
  <si>
    <t>Publication costs</t>
  </si>
  <si>
    <t>Subrecipient</t>
  </si>
  <si>
    <t>Opt Sub 2 (hide if unused)</t>
  </si>
  <si>
    <t>Opt Sub 3 (hide if unused)</t>
  </si>
  <si>
    <t>71268M</t>
  </si>
  <si>
    <t>Individual Consultants</t>
  </si>
  <si>
    <t>Laboratory Safety Services</t>
  </si>
  <si>
    <t>Graduate Health Insurance</t>
  </si>
  <si>
    <t>Graduate Hlth Center Fee</t>
  </si>
  <si>
    <t>Graduate Rec Center Fee</t>
  </si>
  <si>
    <t>total t&amp;h&amp;o</t>
  </si>
  <si>
    <t>Research Subject Incentives</t>
  </si>
  <si>
    <t>Honoraria (non-WM ONLY)</t>
  </si>
  <si>
    <t>total other</t>
  </si>
  <si>
    <t>total direct</t>
  </si>
  <si>
    <t>Sub-award 1 base for indirect</t>
  </si>
  <si>
    <t>Sub 2 base (hide if unused)</t>
  </si>
  <si>
    <t>Sub 3 base (hide if unused)</t>
  </si>
  <si>
    <t>Total base for indirect</t>
  </si>
  <si>
    <t>Facilities &amp; Administrative Costs</t>
  </si>
  <si>
    <t>TOTAL PROJECT BUDGET</t>
  </si>
  <si>
    <t>PI Base Salary</t>
  </si>
  <si>
    <t>PI Fringe</t>
  </si>
  <si>
    <t>Buyout Base</t>
  </si>
  <si>
    <t>Standard Course Load</t>
  </si>
  <si>
    <t>The travel estimator below feeds directly into the main proposal budget tab.</t>
  </si>
  <si>
    <t>If you require more than 6 trips per year, please contact OSP.</t>
  </si>
  <si>
    <t># Travelers</t>
  </si>
  <si>
    <t># Days</t>
  </si>
  <si>
    <t>M&amp;IE</t>
  </si>
  <si>
    <t>Lodging</t>
  </si>
  <si>
    <t>Airfare</t>
  </si>
  <si>
    <t>Ground Transport/Other</t>
  </si>
  <si>
    <t>Total</t>
  </si>
  <si>
    <t>Year One</t>
  </si>
  <si>
    <t>Domestic Trip 1</t>
  </si>
  <si>
    <t>Domestic Trip 2</t>
  </si>
  <si>
    <t>Domestic Trip 3</t>
  </si>
  <si>
    <t>Domestic Trip 4</t>
  </si>
  <si>
    <t>International Trip 1</t>
  </si>
  <si>
    <t>International Trip 2</t>
  </si>
  <si>
    <t>Year One Total Travel</t>
  </si>
  <si>
    <t>Year Two Total Travel</t>
  </si>
  <si>
    <t>Year Three Total Travel</t>
  </si>
  <si>
    <t>Year Four Total Travel</t>
  </si>
  <si>
    <t>Year Five Total Travel</t>
  </si>
  <si>
    <t>General Conference Planning Costs</t>
  </si>
  <si>
    <t>Conference Duration: Enter # Days</t>
  </si>
  <si>
    <t>Site Rental Daily Cost</t>
  </si>
  <si>
    <t>Participant Support Rates</t>
  </si>
  <si>
    <t>A/V Equipment Daily Rental Cost</t>
  </si>
  <si>
    <t>Catering cost for event</t>
  </si>
  <si>
    <t>per diem</t>
  </si>
  <si>
    <t>Publication cost (conference documents)</t>
  </si>
  <si>
    <t>Mileage</t>
  </si>
  <si>
    <t>Other Materials</t>
  </si>
  <si>
    <t>TOTAL</t>
  </si>
  <si>
    <t>Participant Support Calculations</t>
  </si>
  <si>
    <t>Participant Point of Origin</t>
  </si>
  <si>
    <t>Airfare/ Train fare</t>
  </si>
  <si>
    <t># Miles</t>
  </si>
  <si>
    <t>Ground Transport</t>
  </si>
  <si>
    <t># per diem days</t>
  </si>
  <si>
    <t>per diem total</t>
  </si>
  <si>
    <t># lodging days</t>
  </si>
  <si>
    <t>lodging total</t>
  </si>
  <si>
    <t>TOTAL per Participant</t>
  </si>
  <si>
    <t># travelers</t>
  </si>
  <si>
    <t>Non-local, flying to location</t>
  </si>
  <si>
    <t>Non-local, train to location</t>
  </si>
  <si>
    <t>Non-local, driving to location</t>
  </si>
  <si>
    <t>Local driving to location, no lodging</t>
  </si>
  <si>
    <t>TOTALS</t>
  </si>
  <si>
    <t># participants</t>
  </si>
  <si>
    <t>$ value</t>
  </si>
  <si>
    <t>Recurrence</t>
  </si>
  <si>
    <t>Research Study Recruitment Incentives</t>
  </si>
  <si>
    <t>Note: Incentives are subject to F&amp;A</t>
  </si>
  <si>
    <t>THIS TAB AUTOPOPULATES FROM DETAILED BUDGET DATA</t>
  </si>
  <si>
    <r>
      <t>PI</t>
    </r>
    <r>
      <rPr>
        <b/>
        <sz val="11"/>
        <color rgb="FF000000"/>
        <rFont val="Times New Roman"/>
        <family val="1"/>
      </rPr>
      <t>:</t>
    </r>
    <r>
      <rPr>
        <sz val="11"/>
        <color rgb="FF000000"/>
        <rFont val="Times New Roman"/>
        <family val="1"/>
      </rPr>
      <t xml:space="preserve"> Name Name </t>
    </r>
    <r>
      <rPr>
        <b/>
        <sz val="11"/>
        <color rgb="FF000000"/>
        <rFont val="Times New Roman"/>
        <family val="1"/>
      </rPr>
      <t>Institution</t>
    </r>
    <r>
      <rPr>
        <b/>
        <sz val="11"/>
        <rFont val="Times New Roman"/>
        <family val="1"/>
      </rPr>
      <t>:</t>
    </r>
    <r>
      <rPr>
        <sz val="11"/>
        <color rgb="FF000000"/>
        <rFont val="Times New Roman"/>
        <family val="1"/>
      </rPr>
      <t xml:space="preserve"> William &amp; Mary</t>
    </r>
  </si>
  <si>
    <t xml:space="preserve">This major line-item summary can be used for federal or non-federal partners </t>
  </si>
  <si>
    <t>Year 1</t>
  </si>
  <si>
    <t>Year 2</t>
  </si>
  <si>
    <t>Year 3</t>
  </si>
  <si>
    <t>Year 4</t>
  </si>
  <si>
    <t>Year 5</t>
  </si>
  <si>
    <t>Project</t>
  </si>
  <si>
    <t>A. Salaries</t>
  </si>
  <si>
    <t>B. Fringe</t>
  </si>
  <si>
    <t>C. Travel</t>
  </si>
  <si>
    <t>D. Equipment</t>
  </si>
  <si>
    <t>E. Participant Support</t>
  </si>
  <si>
    <t>F. Auxiliary Service Recovery</t>
  </si>
  <si>
    <t>G. Other Direct Costs</t>
  </si>
  <si>
    <t>H. Direct Costs</t>
  </si>
  <si>
    <r>
      <t xml:space="preserve">I. F&amp;A Costs @ </t>
    </r>
    <r>
      <rPr>
        <b/>
        <i/>
        <sz val="12"/>
        <color theme="8" tint="-0.249977111117893"/>
        <rFont val="Times New Roman"/>
        <family val="1"/>
      </rPr>
      <t>50.7%</t>
    </r>
  </si>
  <si>
    <t>J. Total Direct &amp; Indirect</t>
  </si>
  <si>
    <t>Section B- Budget Categories</t>
  </si>
  <si>
    <t>6. Object Class Categories</t>
  </si>
  <si>
    <t>This summary matches the SF-424-A Non-construction budget format &amp; can be used for single-task projects</t>
  </si>
  <si>
    <t>Program/Function/Activity</t>
  </si>
  <si>
    <t>Crosswalk to W&amp;M budget</t>
  </si>
  <si>
    <t>A. Personnel</t>
  </si>
  <si>
    <t>Total salaries</t>
  </si>
  <si>
    <t>B. Fringe Benefits</t>
  </si>
  <si>
    <t>Total fringe</t>
  </si>
  <si>
    <t>Total travel</t>
  </si>
  <si>
    <t>Total equipment</t>
  </si>
  <si>
    <t>E. Supplies</t>
  </si>
  <si>
    <t>Includes Materials &amp; Lab Safety supplies</t>
  </si>
  <si>
    <t>F. Contractual</t>
  </si>
  <si>
    <t>Preset to include sub-awards, lab safety services services, publication costs, 712000 Contractual Services Code</t>
  </si>
  <si>
    <t>H. Other</t>
  </si>
  <si>
    <t>Preset to include Special Consultant Services 71268M, tuition, grad insurance, grad center fees, participant support, auxiliary services, honoraria, incentives</t>
  </si>
  <si>
    <t>I. Total Direct Charges</t>
  </si>
  <si>
    <t>J. Indirect Charges</t>
  </si>
  <si>
    <t>K. Totals</t>
  </si>
  <si>
    <t>Arts &amp; Sciences Buyout cost per course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</si>
</sst>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164" formatCode="&quot;$&quot;#,##0.00"/>
    <numFmt numFmtId="165" formatCode="&quot;$&quot;#,##0"/>
    <numFmt numFmtId="166" formatCode="&quot;$&quot;#,##0.000"/>
    <numFmt numFmtId="167" formatCode="&quot;$&quot;#,##0.0_);[Red]\(&quot;$&quot;#,##0.0\)"/>
  </numFmts>
  <fonts count="26" x14ac:knownFonts="1">
    <font>
      <sz val="10"/>
      <name val="Arial"/>
    </font>
    <font>
      <sz val="11"/>
      <color theme="1"/>
      <name val="Calibri"/>
      <family val="2"/>
      <scheme val="minor"/>
    </font>
    <font>
      <sz val="8"/>
      <name val="Arial"/>
      <family val="2"/>
    </font>
    <font>
      <b/>
      <sz val="10"/>
      <name val="Arial"/>
      <family val="2"/>
    </font>
    <font>
      <sz val="10"/>
      <name val="Arial"/>
      <family val="2"/>
    </font>
    <font>
      <i/>
      <sz val="10"/>
      <name val="Arial"/>
      <family val="2"/>
    </font>
    <font>
      <b/>
      <sz val="12"/>
      <name val="Arial"/>
      <family val="2"/>
    </font>
    <font>
      <sz val="9"/>
      <color indexed="81"/>
      <name val="Tahoma"/>
      <family val="2"/>
    </font>
    <font>
      <b/>
      <sz val="9"/>
      <color indexed="81"/>
      <name val="Tahoma"/>
      <family val="2"/>
    </font>
    <font>
      <b/>
      <i/>
      <sz val="10"/>
      <name val="Arial"/>
      <family val="2"/>
    </font>
    <font>
      <b/>
      <sz val="11"/>
      <name val="Arial"/>
      <family val="2"/>
    </font>
    <font>
      <i/>
      <sz val="12"/>
      <name val="Arial"/>
      <family val="2"/>
    </font>
    <font>
      <b/>
      <u/>
      <sz val="11"/>
      <name val="Arial"/>
      <family val="2"/>
    </font>
    <font>
      <u/>
      <sz val="10"/>
      <color theme="10"/>
      <name val="Arial"/>
      <family val="2"/>
    </font>
    <font>
      <b/>
      <sz val="11"/>
      <color theme="1"/>
      <name val="Calibri"/>
      <family val="2"/>
      <scheme val="minor"/>
    </font>
    <font>
      <b/>
      <u/>
      <sz val="11"/>
      <color theme="1"/>
      <name val="Calibri"/>
      <family val="2"/>
      <scheme val="minor"/>
    </font>
    <font>
      <i/>
      <sz val="11"/>
      <color theme="1"/>
      <name val="Calibri"/>
      <family val="2"/>
      <scheme val="minor"/>
    </font>
    <font>
      <b/>
      <sz val="11"/>
      <name val="Times New Roman"/>
      <family val="1"/>
    </font>
    <font>
      <sz val="11"/>
      <color rgb="FF000000"/>
      <name val="Times New Roman"/>
      <family val="1"/>
    </font>
    <font>
      <sz val="12"/>
      <color rgb="FF000000"/>
      <name val="Times New Roman"/>
      <family val="1"/>
    </font>
    <font>
      <b/>
      <sz val="12"/>
      <color rgb="FF000000"/>
      <name val="Times New Roman"/>
      <family val="1"/>
    </font>
    <font>
      <b/>
      <i/>
      <sz val="12"/>
      <color rgb="FF000000"/>
      <name val="Times New Roman"/>
      <family val="1"/>
    </font>
    <font>
      <i/>
      <sz val="12"/>
      <color rgb="FF000000"/>
      <name val="Times New Roman"/>
      <family val="1"/>
    </font>
    <font>
      <b/>
      <sz val="11"/>
      <color rgb="FF000000"/>
      <name val="Times New Roman"/>
      <family val="1"/>
    </font>
    <font>
      <b/>
      <i/>
      <sz val="12"/>
      <color theme="8" tint="-0.249977111117893"/>
      <name val="Times New Roman"/>
      <family val="1"/>
    </font>
    <font>
      <sz val="10"/>
      <color theme="9" tint="-0.249977111117893"/>
      <name val="Arial"/>
      <family val="2"/>
    </font>
  </fonts>
  <fills count="8">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0" fontId="13" fillId="0" borderId="0" applyNumberFormat="0" applyFill="0" applyBorder="0" applyAlignment="0" applyProtection="0"/>
    <xf numFmtId="0" fontId="1" fillId="0" borderId="0"/>
  </cellStyleXfs>
  <cellXfs count="81">
    <xf numFmtId="0" fontId="0" fillId="0" borderId="0" xfId="0"/>
    <xf numFmtId="0" fontId="3" fillId="0" borderId="0" xfId="0" applyFont="1"/>
    <xf numFmtId="0" fontId="4" fillId="0" borderId="0" xfId="0" applyFont="1"/>
    <xf numFmtId="10" fontId="0" fillId="0" borderId="0" xfId="0" applyNumberFormat="1"/>
    <xf numFmtId="0" fontId="5" fillId="0" borderId="0" xfId="0" applyFont="1"/>
    <xf numFmtId="14" fontId="2" fillId="0" borderId="0" xfId="0" applyNumberFormat="1" applyFont="1"/>
    <xf numFmtId="1" fontId="0" fillId="0" borderId="0" xfId="0" applyNumberFormat="1"/>
    <xf numFmtId="1" fontId="3" fillId="0" borderId="0" xfId="0" applyNumberFormat="1" applyFont="1"/>
    <xf numFmtId="1" fontId="5" fillId="0" borderId="0" xfId="0" applyNumberFormat="1" applyFont="1"/>
    <xf numFmtId="0" fontId="6" fillId="0" borderId="0" xfId="0" applyFont="1"/>
    <xf numFmtId="0" fontId="9" fillId="0" borderId="0" xfId="0" applyFont="1"/>
    <xf numFmtId="6" fontId="0" fillId="0" borderId="0" xfId="0" applyNumberFormat="1"/>
    <xf numFmtId="1" fontId="4" fillId="0" borderId="0" xfId="0" applyNumberFormat="1" applyFont="1"/>
    <xf numFmtId="1" fontId="0" fillId="2" borderId="0" xfId="0" applyNumberFormat="1" applyFill="1"/>
    <xf numFmtId="1" fontId="3" fillId="2" borderId="0" xfId="0" applyNumberFormat="1" applyFont="1" applyFill="1"/>
    <xf numFmtId="0" fontId="10" fillId="0" borderId="0" xfId="0" applyFont="1"/>
    <xf numFmtId="1" fontId="10" fillId="0" borderId="0" xfId="0" applyNumberFormat="1" applyFont="1"/>
    <xf numFmtId="0" fontId="11" fillId="0" borderId="0" xfId="0" applyFont="1"/>
    <xf numFmtId="0" fontId="12" fillId="0" borderId="0" xfId="0" applyFont="1"/>
    <xf numFmtId="0" fontId="13" fillId="0" borderId="0" xfId="1"/>
    <xf numFmtId="0" fontId="4" fillId="3" borderId="0" xfId="0" applyFont="1" applyFill="1"/>
    <xf numFmtId="0" fontId="3" fillId="0" borderId="0" xfId="0" applyFont="1" applyAlignment="1">
      <alignment horizontal="right"/>
    </xf>
    <xf numFmtId="10" fontId="0" fillId="4" borderId="0" xfId="0" applyNumberFormat="1" applyFill="1"/>
    <xf numFmtId="0" fontId="3" fillId="5" borderId="0" xfId="0" applyFont="1" applyFill="1"/>
    <xf numFmtId="0" fontId="0" fillId="5" borderId="0" xfId="0" applyFill="1"/>
    <xf numFmtId="165" fontId="0" fillId="0" borderId="0" xfId="0" applyNumberFormat="1"/>
    <xf numFmtId="0" fontId="15" fillId="0" borderId="0" xfId="2" applyFont="1" applyAlignment="1">
      <alignment horizontal="center"/>
    </xf>
    <xf numFmtId="0" fontId="1" fillId="0" borderId="0" xfId="2"/>
    <xf numFmtId="0" fontId="1" fillId="4" borderId="1" xfId="2" applyFill="1" applyBorder="1"/>
    <xf numFmtId="166" fontId="1" fillId="0" borderId="1" xfId="2" applyNumberFormat="1" applyBorder="1"/>
    <xf numFmtId="166" fontId="1" fillId="0" borderId="0" xfId="2" applyNumberFormat="1"/>
    <xf numFmtId="0" fontId="14" fillId="0" borderId="0" xfId="2" applyFont="1" applyAlignment="1">
      <alignment horizontal="center" vertical="center" wrapText="1"/>
    </xf>
    <xf numFmtId="0" fontId="1" fillId="0" borderId="0" xfId="2" applyAlignment="1">
      <alignment horizontal="center" vertical="center" wrapText="1"/>
    </xf>
    <xf numFmtId="164" fontId="1" fillId="0" borderId="0" xfId="2" applyNumberFormat="1"/>
    <xf numFmtId="0" fontId="14" fillId="0" borderId="0" xfId="2" applyFont="1" applyAlignment="1">
      <alignment horizontal="center"/>
    </xf>
    <xf numFmtId="164" fontId="14" fillId="0" borderId="0" xfId="2" applyNumberFormat="1" applyFont="1"/>
    <xf numFmtId="0" fontId="14" fillId="0" borderId="0" xfId="2" applyFont="1"/>
    <xf numFmtId="0" fontId="1" fillId="0" borderId="0" xfId="2" applyAlignment="1">
      <alignment horizontal="center"/>
    </xf>
    <xf numFmtId="0" fontId="16" fillId="0" borderId="0" xfId="2" applyFont="1"/>
    <xf numFmtId="1" fontId="4" fillId="2" borderId="0" xfId="0" applyNumberFormat="1" applyFont="1" applyFill="1"/>
    <xf numFmtId="1" fontId="9" fillId="0" borderId="0" xfId="0" applyNumberFormat="1" applyFont="1"/>
    <xf numFmtId="1" fontId="0" fillId="6" borderId="0" xfId="0" applyNumberFormat="1" applyFill="1"/>
    <xf numFmtId="1" fontId="5" fillId="6" borderId="0" xfId="0" applyNumberFormat="1" applyFont="1" applyFill="1"/>
    <xf numFmtId="0" fontId="5" fillId="6" borderId="0" xfId="0" applyFont="1" applyFill="1"/>
    <xf numFmtId="0" fontId="4" fillId="0" borderId="0" xfId="0" applyFont="1" applyAlignment="1">
      <alignment horizontal="right"/>
    </xf>
    <xf numFmtId="0" fontId="5" fillId="0" borderId="0" xfId="0" applyFont="1" applyAlignment="1">
      <alignment horizontal="right"/>
    </xf>
    <xf numFmtId="0" fontId="19" fillId="0" borderId="5" xfId="0" applyFont="1" applyBorder="1"/>
    <xf numFmtId="0" fontId="20" fillId="0" borderId="0" xfId="0" applyFont="1" applyAlignment="1">
      <alignment horizontal="center"/>
    </xf>
    <xf numFmtId="0" fontId="20" fillId="0" borderId="6" xfId="0" applyFont="1" applyBorder="1" applyAlignment="1">
      <alignment horizontal="center"/>
    </xf>
    <xf numFmtId="0" fontId="20" fillId="0" borderId="5" xfId="0" applyFont="1" applyBorder="1"/>
    <xf numFmtId="165" fontId="19" fillId="0" borderId="0" xfId="0" applyNumberFormat="1" applyFont="1"/>
    <xf numFmtId="165" fontId="19" fillId="0" borderId="6" xfId="0" applyNumberFormat="1" applyFont="1" applyBorder="1"/>
    <xf numFmtId="0" fontId="21" fillId="0" borderId="5" xfId="0" applyFont="1" applyBorder="1"/>
    <xf numFmtId="165" fontId="22" fillId="0" borderId="0" xfId="0" applyNumberFormat="1" applyFont="1"/>
    <xf numFmtId="0" fontId="20" fillId="0" borderId="7" xfId="0" applyFont="1" applyBorder="1"/>
    <xf numFmtId="165" fontId="20" fillId="0" borderId="8" xfId="0" applyNumberFormat="1" applyFont="1" applyBorder="1"/>
    <xf numFmtId="165" fontId="20" fillId="0" borderId="9" xfId="0" applyNumberFormat="1" applyFont="1" applyBorder="1"/>
    <xf numFmtId="0" fontId="25" fillId="0" borderId="0" xfId="0" applyFont="1"/>
    <xf numFmtId="0" fontId="0" fillId="0" borderId="0" xfId="0" applyAlignment="1">
      <alignment wrapText="1"/>
    </xf>
    <xf numFmtId="0" fontId="1" fillId="0" borderId="1" xfId="2" applyBorder="1"/>
    <xf numFmtId="8" fontId="0" fillId="0" borderId="0" xfId="0" applyNumberFormat="1"/>
    <xf numFmtId="167" fontId="0" fillId="0" borderId="0" xfId="0" applyNumberFormat="1"/>
    <xf numFmtId="1" fontId="0" fillId="7" borderId="0" xfId="0" applyNumberFormat="1" applyFill="1"/>
    <xf numFmtId="0" fontId="0" fillId="7" borderId="0" xfId="0" applyFill="1"/>
    <xf numFmtId="0" fontId="4" fillId="0" borderId="0" xfId="0" applyFont="1" applyAlignment="1">
      <alignment wrapText="1"/>
    </xf>
    <xf numFmtId="0" fontId="4" fillId="0" borderId="0" xfId="0" applyFont="1" applyAlignment="1">
      <alignment wrapText="1"/>
    </xf>
    <xf numFmtId="0" fontId="0" fillId="0" borderId="0" xfId="0" applyAlignment="1">
      <alignment wrapText="1"/>
    </xf>
    <xf numFmtId="0" fontId="0" fillId="2" borderId="0" xfId="0" applyFill="1" applyAlignment="1">
      <alignment wrapText="1"/>
    </xf>
    <xf numFmtId="0" fontId="0" fillId="6" borderId="0" xfId="0" applyFill="1" applyAlignment="1">
      <alignment wrapText="1"/>
    </xf>
    <xf numFmtId="0" fontId="14" fillId="0" borderId="1" xfId="2" applyFont="1" applyBorder="1"/>
    <xf numFmtId="0" fontId="1" fillId="0" borderId="1" xfId="2" applyBorder="1"/>
    <xf numFmtId="0" fontId="0" fillId="0" borderId="0" xfId="0" applyAlignment="1">
      <alignment horizontal="center" wrapText="1"/>
    </xf>
    <xf numFmtId="0" fontId="3" fillId="4" borderId="0" xfId="0" applyFont="1" applyFill="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17" fillId="0" borderId="4" xfId="0" applyFont="1" applyBorder="1" applyAlignment="1">
      <alignment horizontal="center" wrapText="1"/>
    </xf>
    <xf numFmtId="0" fontId="19" fillId="0" borderId="5" xfId="0" applyFont="1" applyBorder="1" applyAlignment="1">
      <alignment horizontal="center" wrapText="1"/>
    </xf>
    <xf numFmtId="0" fontId="19" fillId="0" borderId="0" xfId="0" applyFont="1" applyAlignment="1">
      <alignment horizontal="center" wrapText="1"/>
    </xf>
    <xf numFmtId="0" fontId="19" fillId="0" borderId="6" xfId="0" applyFont="1" applyBorder="1" applyAlignment="1">
      <alignment horizontal="center" wrapText="1"/>
    </xf>
    <xf numFmtId="0" fontId="3" fillId="0" borderId="0" xfId="0" applyFont="1" applyAlignment="1">
      <alignment horizontal="center"/>
    </xf>
    <xf numFmtId="0" fontId="10" fillId="0" borderId="0" xfId="0" applyFont="1" applyAlignment="1">
      <alignment horizontal="center"/>
    </xf>
  </cellXfs>
  <cellStyles count="3">
    <cellStyle name="Hyperlink" xfId="1" builtinId="8"/>
    <cellStyle name="Normal" xfId="0" builtinId="0"/>
    <cellStyle name="Normal 2" xfId="2" xr:uid="{C2064625-3097-4FCE-8CC3-4E13CE127EC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Lawler, Erica" id="{C8354AD8-90EB-48F6-B1F6-24F2FEB765F4}" userId="S::emlawler@wm.edu::518ab4cb-f6e2-4caa-b26e-dc878b956c07"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6" dT="2023-10-30T11:18:57.22" personId="{C8354AD8-90EB-48F6-B1F6-24F2FEB765F4}" id="{B77C45A4-8D5B-4E23-961B-AD3E9895C494}">
    <text>Enter number of course buyouts needed for project year</text>
  </threadedComment>
  <threadedComment ref="B53" dT="2023-07-18T13:39:22.29" personId="{C8354AD8-90EB-48F6-B1F6-24F2FEB765F4}" id="{D98DD6D0-ABF5-4D8C-8676-13341879C692}">
    <text>Rates can be found here: https://www.wm.edu/offices/residencelife/oncampus/roomselection-housingassignments-contracts/roomselection/summerhousing/undergraduate/index.php</text>
  </threadedComment>
  <threadedComment ref="A63" dT="2023-01-19T15:04:10.11" personId="{C8354AD8-90EB-48F6-B1F6-24F2FEB765F4}" id="{A8330061-8BCD-46AA-8917-AA81612F023A}">
    <text>712685 for State Agcy sub ptner</text>
  </threadedComment>
  <threadedComment ref="A67" dT="2023-01-19T15:45:37.35" personId="{C8354AD8-90EB-48F6-B1F6-24F2FEB765F4}" id="{20A3BCA8-7852-47FB-AD82-7925C0E7F8D3}">
    <text>Special Consultant Services Code</text>
  </threadedComment>
</ThreadedComments>
</file>

<file path=xl/threadedComments/threadedComment2.xml><?xml version="1.0" encoding="utf-8"?>
<ThreadedComments xmlns="http://schemas.microsoft.com/office/spreadsheetml/2018/threadedcomments" xmlns:x="http://schemas.openxmlformats.org/spreadsheetml/2006/main">
  <threadedComment ref="B4" dT="2023-10-30T11:22:39.64" personId="{C8354AD8-90EB-48F6-B1F6-24F2FEB765F4}" id="{33F6E753-0833-493D-9C16-2A819FE7842F}">
    <text>Total courses taught fall + spring</text>
  </threadedComment>
</ThreadedComments>
</file>

<file path=xl/threadedComments/threadedComment3.xml><?xml version="1.0" encoding="utf-8"?>
<ThreadedComments xmlns="http://schemas.microsoft.com/office/spreadsheetml/2018/threadedcomments" xmlns:x="http://schemas.openxmlformats.org/spreadsheetml/2006/main">
  <threadedComment ref="A4" dT="2023-01-19T15:06:38.78" personId="{C8354AD8-90EB-48F6-B1F6-24F2FEB765F4}" id="{79F0FB5A-A9AD-43B2-9770-4B88D4766B24}">
    <text>Will populate project title from detailed proposal budget</text>
  </threadedComment>
  <threadedComment ref="B20" dT="2023-01-19T15:45:21.32" personId="{C8354AD8-90EB-48F6-B1F6-24F2FEB765F4}" id="{C6E833A4-6549-4756-AD3F-A3AC9BD41DEE}">
    <text>Will populate project title from detailed proposal budget tab</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1"/>
  <sheetViews>
    <sheetView topLeftCell="A37" workbookViewId="0">
      <selection activeCell="B49" sqref="B49"/>
    </sheetView>
  </sheetViews>
  <sheetFormatPr defaultRowHeight="13.2" x14ac:dyDescent="0.25"/>
  <cols>
    <col min="1" max="1" width="11.33203125" customWidth="1"/>
    <col min="2" max="2" width="11.109375" customWidth="1"/>
  </cols>
  <sheetData>
    <row r="1" spans="1:6" ht="13.8" x14ac:dyDescent="0.25">
      <c r="A1" s="18" t="s">
        <v>0</v>
      </c>
      <c r="E1" s="24"/>
      <c r="F1" s="1" t="s">
        <v>1</v>
      </c>
    </row>
    <row r="2" spans="1:6" x14ac:dyDescent="0.25">
      <c r="A2" s="2" t="s">
        <v>2</v>
      </c>
    </row>
    <row r="3" spans="1:6" x14ac:dyDescent="0.25">
      <c r="A3" s="2" t="s">
        <v>3</v>
      </c>
    </row>
    <row r="4" spans="1:6" x14ac:dyDescent="0.25">
      <c r="A4" s="2" t="s">
        <v>4</v>
      </c>
    </row>
    <row r="5" spans="1:6" x14ac:dyDescent="0.25">
      <c r="A5" s="2" t="s">
        <v>5</v>
      </c>
    </row>
    <row r="6" spans="1:6" x14ac:dyDescent="0.25">
      <c r="A6" s="2" t="s">
        <v>6</v>
      </c>
    </row>
    <row r="7" spans="1:6" x14ac:dyDescent="0.25">
      <c r="A7" s="2" t="s">
        <v>7</v>
      </c>
    </row>
    <row r="8" spans="1:6" x14ac:dyDescent="0.25">
      <c r="A8" s="1" t="s">
        <v>8</v>
      </c>
    </row>
    <row r="9" spans="1:6" x14ac:dyDescent="0.25">
      <c r="A9" s="2" t="s">
        <v>9</v>
      </c>
    </row>
    <row r="11" spans="1:6" ht="13.8" x14ac:dyDescent="0.25">
      <c r="A11" s="18" t="s">
        <v>10</v>
      </c>
    </row>
    <row r="12" spans="1:6" x14ac:dyDescent="0.25">
      <c r="A12" s="1" t="s">
        <v>11</v>
      </c>
    </row>
    <row r="13" spans="1:6" x14ac:dyDescent="0.25">
      <c r="A13" s="1" t="s">
        <v>12</v>
      </c>
    </row>
    <row r="14" spans="1:6" x14ac:dyDescent="0.25">
      <c r="A14" s="2" t="s">
        <v>13</v>
      </c>
    </row>
    <row r="15" spans="1:6" x14ac:dyDescent="0.25">
      <c r="A15" s="2" t="s">
        <v>14</v>
      </c>
    </row>
    <row r="16" spans="1:6" x14ac:dyDescent="0.25">
      <c r="A16" s="1" t="s">
        <v>15</v>
      </c>
    </row>
    <row r="17" spans="1:20" x14ac:dyDescent="0.25">
      <c r="A17" s="1"/>
      <c r="B17" s="10" t="s">
        <v>16</v>
      </c>
    </row>
    <row r="18" spans="1:20" x14ac:dyDescent="0.25">
      <c r="B18" s="2" t="s">
        <v>17</v>
      </c>
    </row>
    <row r="19" spans="1:20" x14ac:dyDescent="0.25">
      <c r="B19" s="2" t="s">
        <v>18</v>
      </c>
    </row>
    <row r="20" spans="1:20" x14ac:dyDescent="0.25">
      <c r="B20" s="2" t="s">
        <v>19</v>
      </c>
    </row>
    <row r="21" spans="1:20" x14ac:dyDescent="0.25">
      <c r="B21" s="10" t="s">
        <v>20</v>
      </c>
    </row>
    <row r="22" spans="1:20" x14ac:dyDescent="0.25">
      <c r="B22" s="2" t="s">
        <v>21</v>
      </c>
    </row>
    <row r="23" spans="1:20" x14ac:dyDescent="0.25">
      <c r="B23" s="2" t="s">
        <v>22</v>
      </c>
    </row>
    <row r="24" spans="1:20" x14ac:dyDescent="0.25">
      <c r="B24" s="2" t="s">
        <v>18</v>
      </c>
    </row>
    <row r="25" spans="1:20" x14ac:dyDescent="0.25">
      <c r="B25" s="2" t="s">
        <v>23</v>
      </c>
    </row>
    <row r="26" spans="1:20" x14ac:dyDescent="0.25">
      <c r="B26" s="2"/>
    </row>
    <row r="27" spans="1:20" ht="13.8" x14ac:dyDescent="0.25">
      <c r="A27" s="18" t="s">
        <v>24</v>
      </c>
      <c r="C27" t="s">
        <v>25</v>
      </c>
    </row>
    <row r="28" spans="1:20" x14ac:dyDescent="0.25">
      <c r="A28" s="1" t="s">
        <v>26</v>
      </c>
      <c r="C28" s="2" t="s">
        <v>27</v>
      </c>
    </row>
    <row r="29" spans="1:20" x14ac:dyDescent="0.25">
      <c r="A29" s="2" t="s">
        <v>28</v>
      </c>
      <c r="T29" s="19" t="str">
        <f>HYPERLINK("http://www.gsa.gov/portal/category/21287","GSA per diem Table")</f>
        <v>GSA per diem Table</v>
      </c>
    </row>
    <row r="30" spans="1:20" x14ac:dyDescent="0.25">
      <c r="A30" s="1" t="s">
        <v>29</v>
      </c>
      <c r="C30" s="2" t="s">
        <v>30</v>
      </c>
    </row>
    <row r="31" spans="1:20" x14ac:dyDescent="0.25">
      <c r="A31" s="2" t="s">
        <v>31</v>
      </c>
      <c r="T31" s="19" t="str">
        <f>HYPERLINK("http://aoprals.state.gov/web920/per_diem.asp","Foreign per diem Table")</f>
        <v>Foreign per diem Table</v>
      </c>
    </row>
    <row r="32" spans="1:20" x14ac:dyDescent="0.25">
      <c r="A32" s="2" t="s">
        <v>32</v>
      </c>
    </row>
    <row r="33" spans="1:21" x14ac:dyDescent="0.25">
      <c r="A33" s="2" t="s">
        <v>33</v>
      </c>
    </row>
    <row r="35" spans="1:21" ht="13.8" x14ac:dyDescent="0.25">
      <c r="A35" s="18" t="s">
        <v>34</v>
      </c>
    </row>
    <row r="36" spans="1:21" x14ac:dyDescent="0.25">
      <c r="A36" s="1" t="s">
        <v>35</v>
      </c>
    </row>
    <row r="37" spans="1:21" x14ac:dyDescent="0.25">
      <c r="A37" s="2" t="s">
        <v>36</v>
      </c>
    </row>
    <row r="38" spans="1:21" x14ac:dyDescent="0.25">
      <c r="A38" s="2" t="s">
        <v>37</v>
      </c>
    </row>
    <row r="39" spans="1:21" x14ac:dyDescent="0.25">
      <c r="A39" s="2" t="s">
        <v>38</v>
      </c>
    </row>
    <row r="41" spans="1:21" ht="13.8" x14ac:dyDescent="0.25">
      <c r="A41" s="18" t="s">
        <v>39</v>
      </c>
      <c r="E41" s="2" t="s">
        <v>40</v>
      </c>
    </row>
    <row r="42" spans="1:21" ht="26.25" customHeight="1" x14ac:dyDescent="0.25">
      <c r="A42" s="1" t="s">
        <v>41</v>
      </c>
      <c r="B42" s="65" t="s">
        <v>42</v>
      </c>
      <c r="C42" s="66"/>
      <c r="D42" s="66"/>
      <c r="E42" s="66"/>
      <c r="F42" s="66"/>
      <c r="G42" s="66"/>
      <c r="H42" s="66"/>
      <c r="I42" s="66"/>
      <c r="J42" s="66"/>
      <c r="K42" s="66"/>
      <c r="L42" s="66"/>
      <c r="M42" s="66"/>
      <c r="N42" s="66"/>
      <c r="O42" s="66"/>
      <c r="P42" s="66"/>
      <c r="Q42" s="66"/>
      <c r="R42" s="66"/>
      <c r="S42" s="66"/>
      <c r="T42" s="66"/>
      <c r="U42" s="66"/>
    </row>
    <row r="43" spans="1:21" x14ac:dyDescent="0.25">
      <c r="A43" s="1" t="s">
        <v>43</v>
      </c>
      <c r="B43" s="2" t="s">
        <v>44</v>
      </c>
    </row>
    <row r="44" spans="1:21" x14ac:dyDescent="0.25">
      <c r="A44" s="1" t="s">
        <v>45</v>
      </c>
      <c r="B44" s="2" t="s">
        <v>46</v>
      </c>
    </row>
    <row r="45" spans="1:21" x14ac:dyDescent="0.25">
      <c r="A45" s="1" t="s">
        <v>47</v>
      </c>
      <c r="B45" s="65" t="s">
        <v>48</v>
      </c>
      <c r="C45" s="66"/>
      <c r="D45" s="66"/>
      <c r="E45" s="66"/>
      <c r="F45" s="66"/>
      <c r="G45" s="66"/>
      <c r="H45" s="66"/>
      <c r="I45" s="66"/>
      <c r="J45" s="66"/>
      <c r="K45" s="66"/>
      <c r="L45" s="66"/>
      <c r="M45" s="66"/>
      <c r="N45" s="66"/>
      <c r="O45" s="66"/>
      <c r="P45" s="66"/>
      <c r="Q45" s="66"/>
      <c r="R45" s="66"/>
      <c r="S45" s="66"/>
      <c r="T45" s="66"/>
      <c r="U45" s="66"/>
    </row>
    <row r="46" spans="1:21" x14ac:dyDescent="0.25">
      <c r="B46" s="66"/>
      <c r="C46" s="66"/>
      <c r="D46" s="66"/>
      <c r="E46" s="66"/>
      <c r="F46" s="66"/>
      <c r="G46" s="66"/>
      <c r="H46" s="66"/>
      <c r="I46" s="66"/>
      <c r="J46" s="66"/>
      <c r="K46" s="66"/>
      <c r="L46" s="66"/>
      <c r="M46" s="66"/>
      <c r="N46" s="66"/>
      <c r="O46" s="66"/>
      <c r="P46" s="66"/>
      <c r="Q46" s="66"/>
      <c r="R46" s="66"/>
      <c r="S46" s="66"/>
      <c r="T46" s="66"/>
      <c r="U46" s="66"/>
    </row>
    <row r="47" spans="1:21" x14ac:dyDescent="0.25">
      <c r="B47" s="58"/>
      <c r="C47" s="58"/>
      <c r="D47" s="58"/>
      <c r="E47" s="58"/>
      <c r="F47" s="58"/>
      <c r="G47" s="58"/>
      <c r="H47" s="58"/>
      <c r="I47" s="58"/>
      <c r="J47" s="58"/>
      <c r="K47" s="58"/>
      <c r="L47" s="58"/>
      <c r="M47" s="58"/>
      <c r="N47" s="58"/>
      <c r="O47" s="58"/>
      <c r="P47" s="58"/>
      <c r="Q47" s="58"/>
      <c r="R47" s="58"/>
      <c r="S47" s="58"/>
      <c r="T47" s="58"/>
      <c r="U47" s="58"/>
    </row>
    <row r="48" spans="1:21" ht="13.8" x14ac:dyDescent="0.25">
      <c r="A48" s="18" t="s">
        <v>49</v>
      </c>
      <c r="B48" s="58"/>
      <c r="C48" s="58"/>
      <c r="D48" s="58"/>
      <c r="E48" s="58"/>
      <c r="F48" s="58"/>
      <c r="G48" s="58"/>
      <c r="H48" s="58"/>
      <c r="I48" s="58"/>
      <c r="J48" s="58"/>
      <c r="K48" s="58"/>
      <c r="L48" s="58"/>
      <c r="M48" s="58"/>
      <c r="N48" s="58"/>
      <c r="O48" s="58"/>
      <c r="P48" s="58"/>
      <c r="Q48" s="58"/>
      <c r="R48" s="58"/>
      <c r="S48" s="58"/>
      <c r="T48" s="58"/>
      <c r="U48" s="58"/>
    </row>
    <row r="49" spans="1:21" x14ac:dyDescent="0.25">
      <c r="A49" s="2" t="s">
        <v>50</v>
      </c>
      <c r="B49" s="58"/>
      <c r="C49" s="65" t="s">
        <v>51</v>
      </c>
      <c r="D49" s="66"/>
      <c r="E49" s="66"/>
      <c r="F49" s="66"/>
      <c r="G49" s="66"/>
      <c r="H49" s="66"/>
      <c r="I49" s="66"/>
      <c r="J49" s="66"/>
      <c r="K49" s="66"/>
      <c r="L49" s="66"/>
      <c r="M49" s="66"/>
      <c r="N49" s="66"/>
      <c r="O49" s="66"/>
      <c r="P49" s="66"/>
      <c r="Q49" s="58"/>
      <c r="R49" s="58"/>
      <c r="S49" s="58"/>
      <c r="T49" s="58"/>
      <c r="U49" s="58"/>
    </row>
    <row r="50" spans="1:21" ht="13.8" x14ac:dyDescent="0.25">
      <c r="A50" s="18" t="s">
        <v>52</v>
      </c>
    </row>
    <row r="51" spans="1:21" x14ac:dyDescent="0.25">
      <c r="A51" s="1" t="s">
        <v>53</v>
      </c>
      <c r="C51" s="2" t="s">
        <v>54</v>
      </c>
    </row>
    <row r="52" spans="1:21" x14ac:dyDescent="0.25">
      <c r="A52" s="23" t="s">
        <v>55</v>
      </c>
      <c r="B52" s="24"/>
      <c r="C52" s="2" t="s">
        <v>56</v>
      </c>
    </row>
    <row r="53" spans="1:21" x14ac:dyDescent="0.25">
      <c r="A53" s="1" t="s">
        <v>57</v>
      </c>
      <c r="C53" s="2" t="s">
        <v>58</v>
      </c>
    </row>
    <row r="54" spans="1:21" x14ac:dyDescent="0.25">
      <c r="A54" s="1" t="s">
        <v>59</v>
      </c>
      <c r="C54" s="2" t="s">
        <v>60</v>
      </c>
    </row>
    <row r="55" spans="1:21" x14ac:dyDescent="0.25">
      <c r="A55" s="1" t="s">
        <v>61</v>
      </c>
      <c r="C55" s="2" t="s">
        <v>62</v>
      </c>
    </row>
    <row r="56" spans="1:21" x14ac:dyDescent="0.25">
      <c r="A56" s="1" t="s">
        <v>63</v>
      </c>
      <c r="C56" s="2" t="s">
        <v>64</v>
      </c>
    </row>
    <row r="57" spans="1:21" x14ac:dyDescent="0.25">
      <c r="A57" s="1"/>
      <c r="C57" s="2"/>
    </row>
    <row r="58" spans="1:21" x14ac:dyDescent="0.25">
      <c r="A58" s="23" t="s">
        <v>65</v>
      </c>
      <c r="B58" s="24"/>
      <c r="C58" s="2" t="s">
        <v>66</v>
      </c>
    </row>
    <row r="59" spans="1:21" x14ac:dyDescent="0.25">
      <c r="A59" s="1" t="s">
        <v>67</v>
      </c>
      <c r="C59" s="2" t="s">
        <v>68</v>
      </c>
    </row>
    <row r="60" spans="1:21" x14ac:dyDescent="0.25">
      <c r="A60" s="1" t="s">
        <v>69</v>
      </c>
      <c r="C60" s="2" t="s">
        <v>70</v>
      </c>
    </row>
    <row r="61" spans="1:21" x14ac:dyDescent="0.25">
      <c r="A61" s="1" t="s">
        <v>71</v>
      </c>
      <c r="C61" s="2" t="s">
        <v>72</v>
      </c>
    </row>
    <row r="62" spans="1:21" x14ac:dyDescent="0.25">
      <c r="A62" s="1" t="s">
        <v>73</v>
      </c>
      <c r="C62" s="2" t="s">
        <v>72</v>
      </c>
    </row>
    <row r="63" spans="1:21" x14ac:dyDescent="0.25">
      <c r="A63" s="1" t="s">
        <v>74</v>
      </c>
      <c r="B63" t="s">
        <v>75</v>
      </c>
      <c r="C63" t="s">
        <v>76</v>
      </c>
    </row>
    <row r="64" spans="1:21" x14ac:dyDescent="0.25">
      <c r="A64" s="1" t="s">
        <v>77</v>
      </c>
      <c r="B64" t="s">
        <v>75</v>
      </c>
      <c r="C64" s="2" t="s">
        <v>78</v>
      </c>
    </row>
    <row r="65" spans="1:2" ht="13.8" x14ac:dyDescent="0.25">
      <c r="A65" s="18" t="s">
        <v>79</v>
      </c>
    </row>
    <row r="66" spans="1:2" x14ac:dyDescent="0.25">
      <c r="A66" s="1" t="s">
        <v>80</v>
      </c>
      <c r="B66" s="2" t="s">
        <v>81</v>
      </c>
    </row>
    <row r="67" spans="1:2" x14ac:dyDescent="0.25">
      <c r="A67" s="2" t="s">
        <v>82</v>
      </c>
    </row>
    <row r="68" spans="1:2" x14ac:dyDescent="0.25">
      <c r="A68" s="2" t="s">
        <v>83</v>
      </c>
    </row>
    <row r="69" spans="1:2" x14ac:dyDescent="0.25">
      <c r="A69" s="1" t="s">
        <v>84</v>
      </c>
    </row>
    <row r="70" spans="1:2" x14ac:dyDescent="0.25">
      <c r="A70" s="2" t="s">
        <v>85</v>
      </c>
    </row>
    <row r="71" spans="1:2" x14ac:dyDescent="0.25">
      <c r="A71" s="2" t="s">
        <v>86</v>
      </c>
    </row>
  </sheetData>
  <mergeCells count="3">
    <mergeCell ref="B42:U42"/>
    <mergeCell ref="B45:U46"/>
    <mergeCell ref="C49:P4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pageSetUpPr fitToPage="1"/>
  </sheetPr>
  <dimension ref="A1:IP86"/>
  <sheetViews>
    <sheetView zoomScale="90" zoomScaleNormal="90" workbookViewId="0">
      <pane ySplit="11" topLeftCell="A12" activePane="bottomLeft" state="frozen"/>
      <selection pane="bottomLeft" activeCell="B18" sqref="B18"/>
    </sheetView>
  </sheetViews>
  <sheetFormatPr defaultRowHeight="13.2" x14ac:dyDescent="0.25"/>
  <cols>
    <col min="1" max="1" width="10.33203125" bestFit="1" customWidth="1"/>
    <col min="2" max="2" width="25.44140625" bestFit="1" customWidth="1"/>
    <col min="7" max="7" width="10.5546875" customWidth="1"/>
    <col min="14" max="14" width="17" bestFit="1" customWidth="1"/>
  </cols>
  <sheetData>
    <row r="1" spans="1:20" x14ac:dyDescent="0.25">
      <c r="C1" s="3">
        <v>1.05</v>
      </c>
      <c r="D1" t="s">
        <v>87</v>
      </c>
      <c r="G1" t="s">
        <v>88</v>
      </c>
      <c r="R1" s="67" t="s">
        <v>89</v>
      </c>
      <c r="S1" s="66"/>
    </row>
    <row r="2" spans="1:20" x14ac:dyDescent="0.25">
      <c r="C2" s="3">
        <v>1.05</v>
      </c>
      <c r="D2" t="s">
        <v>90</v>
      </c>
      <c r="G2" t="s">
        <v>91</v>
      </c>
      <c r="R2" s="68" t="s">
        <v>92</v>
      </c>
      <c r="S2" s="66"/>
    </row>
    <row r="3" spans="1:20" x14ac:dyDescent="0.25">
      <c r="C3" s="3">
        <v>1.0980000000000001</v>
      </c>
      <c r="D3" t="s">
        <v>93</v>
      </c>
      <c r="G3" s="1" t="s">
        <v>94</v>
      </c>
      <c r="K3" s="2"/>
    </row>
    <row r="4" spans="1:20" x14ac:dyDescent="0.25">
      <c r="C4" s="3">
        <v>1.05</v>
      </c>
      <c r="D4" t="s">
        <v>95</v>
      </c>
      <c r="G4" s="22">
        <v>0.50700000000000001</v>
      </c>
      <c r="H4" t="s">
        <v>96</v>
      </c>
      <c r="J4" s="1"/>
      <c r="K4" s="2"/>
    </row>
    <row r="5" spans="1:20" x14ac:dyDescent="0.25">
      <c r="C5" s="3">
        <v>1.03</v>
      </c>
      <c r="D5" t="s">
        <v>97</v>
      </c>
      <c r="J5" s="5"/>
      <c r="K5" s="2"/>
    </row>
    <row r="6" spans="1:20" ht="15.6" x14ac:dyDescent="0.3">
      <c r="B6" s="9" t="s">
        <v>98</v>
      </c>
      <c r="C6" s="9"/>
      <c r="H6" s="10" t="s">
        <v>99</v>
      </c>
      <c r="I6" s="10" t="s">
        <v>100</v>
      </c>
      <c r="J6" s="5"/>
      <c r="K6" s="10" t="s">
        <v>101</v>
      </c>
    </row>
    <row r="7" spans="1:20" ht="15.6" x14ac:dyDescent="0.3">
      <c r="B7" s="9" t="s">
        <v>102</v>
      </c>
      <c r="C7" s="9"/>
      <c r="G7" s="2" t="s">
        <v>103</v>
      </c>
      <c r="H7" s="11">
        <v>0</v>
      </c>
      <c r="I7" s="11">
        <f>H7/9</f>
        <v>0</v>
      </c>
      <c r="J7" s="5"/>
      <c r="K7" s="4" t="s">
        <v>104</v>
      </c>
      <c r="L7" s="4"/>
      <c r="M7" s="4">
        <v>0</v>
      </c>
      <c r="N7" s="4" t="s">
        <v>105</v>
      </c>
      <c r="O7" s="4">
        <v>0</v>
      </c>
    </row>
    <row r="8" spans="1:20" ht="15.6" x14ac:dyDescent="0.3">
      <c r="B8" s="9" t="s">
        <v>106</v>
      </c>
      <c r="C8" s="9"/>
      <c r="G8" t="s">
        <v>107</v>
      </c>
      <c r="I8" s="25">
        <f>H8/12</f>
        <v>0</v>
      </c>
      <c r="J8" s="5"/>
      <c r="K8" s="4" t="s">
        <v>108</v>
      </c>
      <c r="L8" s="4"/>
      <c r="M8" s="4">
        <v>0</v>
      </c>
      <c r="N8" s="4" t="s">
        <v>109</v>
      </c>
      <c r="O8" s="4">
        <v>0</v>
      </c>
    </row>
    <row r="9" spans="1:20" ht="15.6" x14ac:dyDescent="0.3">
      <c r="B9" s="9" t="s">
        <v>110</v>
      </c>
      <c r="C9" s="17" t="s">
        <v>111</v>
      </c>
      <c r="G9" t="s">
        <v>112</v>
      </c>
      <c r="I9" s="25">
        <f>H9/9</f>
        <v>0</v>
      </c>
      <c r="J9" s="5"/>
      <c r="K9" s="4" t="s">
        <v>113</v>
      </c>
      <c r="L9" s="4"/>
      <c r="M9" s="4">
        <v>0</v>
      </c>
      <c r="N9" s="4" t="s">
        <v>114</v>
      </c>
      <c r="O9" s="4">
        <v>0</v>
      </c>
    </row>
    <row r="10" spans="1:20" ht="15.6" x14ac:dyDescent="0.3">
      <c r="B10" s="9" t="s">
        <v>115</v>
      </c>
      <c r="C10" s="17" t="s">
        <v>111</v>
      </c>
      <c r="G10" t="s">
        <v>116</v>
      </c>
      <c r="I10" s="25">
        <f>H10/9</f>
        <v>0</v>
      </c>
    </row>
    <row r="11" spans="1:20" x14ac:dyDescent="0.25">
      <c r="A11" s="1" t="s">
        <v>117</v>
      </c>
      <c r="D11" s="1" t="s">
        <v>118</v>
      </c>
      <c r="E11" s="1"/>
      <c r="F11" s="1"/>
      <c r="G11" s="1" t="s">
        <v>119</v>
      </c>
      <c r="H11" s="1"/>
      <c r="I11" s="1"/>
      <c r="J11" s="1" t="s">
        <v>120</v>
      </c>
      <c r="K11" s="1"/>
      <c r="L11" s="1"/>
      <c r="M11" s="1" t="s">
        <v>121</v>
      </c>
      <c r="N11" s="1"/>
      <c r="O11" s="1"/>
      <c r="P11" s="1" t="s">
        <v>122</v>
      </c>
      <c r="Q11" s="1"/>
      <c r="R11" s="1"/>
      <c r="S11" s="1" t="s">
        <v>123</v>
      </c>
    </row>
    <row r="13" spans="1:20" x14ac:dyDescent="0.25">
      <c r="B13" s="1" t="s">
        <v>124</v>
      </c>
    </row>
    <row r="14" spans="1:20" x14ac:dyDescent="0.25">
      <c r="B14" s="1" t="s">
        <v>125</v>
      </c>
      <c r="C14" s="2" t="s">
        <v>126</v>
      </c>
    </row>
    <row r="15" spans="1:20" x14ac:dyDescent="0.25">
      <c r="A15">
        <v>611200</v>
      </c>
      <c r="B15" t="s">
        <v>127</v>
      </c>
      <c r="C15">
        <v>0</v>
      </c>
      <c r="D15" s="6">
        <f>C15*I7</f>
        <v>0</v>
      </c>
      <c r="E15" s="6"/>
      <c r="F15" s="6">
        <v>0</v>
      </c>
      <c r="G15" s="6">
        <f>ROUND((I7*$C$1)*F15,0)</f>
        <v>0</v>
      </c>
      <c r="H15" s="6"/>
      <c r="I15" s="6">
        <v>0</v>
      </c>
      <c r="J15" s="6">
        <f>ROUND((I7*$C$1*$C$1)*I15,0)</f>
        <v>0</v>
      </c>
      <c r="K15" s="6"/>
      <c r="L15" s="6">
        <v>0</v>
      </c>
      <c r="M15" s="6">
        <f>ROUND(($I7*$C$1*$C$1*$C$1)*L15,0)</f>
        <v>0</v>
      </c>
      <c r="N15" s="6"/>
      <c r="O15" s="6">
        <v>0</v>
      </c>
      <c r="P15" s="6">
        <f>ROUND((I7*$C$1*$C$1*$C$1*$C$1)*O15,0)</f>
        <v>0</v>
      </c>
      <c r="Q15" s="6"/>
      <c r="R15" s="6"/>
      <c r="S15" s="6">
        <f t="shared" ref="S15:S23" si="0">SUM(D15,G15,J15,M15,P15)</f>
        <v>0</v>
      </c>
      <c r="T15" s="6"/>
    </row>
    <row r="16" spans="1:20" x14ac:dyDescent="0.25">
      <c r="A16">
        <v>611200</v>
      </c>
      <c r="B16" t="s">
        <v>128</v>
      </c>
      <c r="C16" s="63"/>
      <c r="D16" s="6">
        <f>C16*'Course Buyout Calculator'!B5</f>
        <v>0</v>
      </c>
      <c r="E16" s="6"/>
      <c r="F16" s="62"/>
      <c r="G16" s="6">
        <f>F16*'Course Buyout Calculator'!B5*'Detailed Proposal Budget'!C1</f>
        <v>0</v>
      </c>
      <c r="H16" s="6"/>
      <c r="I16" s="62"/>
      <c r="J16" s="6">
        <f>I16*'Detailed Proposal Budget'!C1*'Detailed Proposal Budget'!C1*'Course Buyout Calculator'!B5</f>
        <v>0</v>
      </c>
      <c r="K16" s="6"/>
      <c r="L16" s="62"/>
      <c r="M16" s="6">
        <f>L16*C1*C1*C1*'Course Buyout Calculator'!B5</f>
        <v>0</v>
      </c>
      <c r="N16" s="6"/>
      <c r="O16" s="62"/>
      <c r="P16" s="6">
        <f>O16*C1*C1*C1*C1*'Course Buyout Calculator'!B5</f>
        <v>0</v>
      </c>
      <c r="Q16" s="6"/>
      <c r="R16" s="6"/>
      <c r="S16" s="6"/>
      <c r="T16" s="6"/>
    </row>
    <row r="17" spans="1:20" x14ac:dyDescent="0.25">
      <c r="A17">
        <v>611200</v>
      </c>
      <c r="B17" t="s">
        <v>107</v>
      </c>
      <c r="C17">
        <v>0</v>
      </c>
      <c r="D17" s="6">
        <f>C17*I8</f>
        <v>0</v>
      </c>
      <c r="E17" s="6"/>
      <c r="F17" s="6">
        <v>0</v>
      </c>
      <c r="G17" s="6">
        <f>ROUND((I8*$C$1)*F17,0)</f>
        <v>0</v>
      </c>
      <c r="H17" s="6"/>
      <c r="I17" s="6">
        <v>0</v>
      </c>
      <c r="J17" s="6">
        <f>ROUND((I8*$C$1*$C$1)*I17,0)</f>
        <v>0</v>
      </c>
      <c r="K17" s="6"/>
      <c r="L17" s="6">
        <v>0</v>
      </c>
      <c r="M17" s="6">
        <f>ROUND(($I8*$C$1*$C$1*$C$1)*L17,0)</f>
        <v>0</v>
      </c>
      <c r="N17" s="6"/>
      <c r="O17" s="6">
        <v>0</v>
      </c>
      <c r="P17" s="6">
        <f>ROUND((I8*$C$1*$C$1*$C$1*$C$1)*O17,0)</f>
        <v>0</v>
      </c>
      <c r="Q17" s="6"/>
      <c r="R17" s="6"/>
      <c r="S17" s="6">
        <f t="shared" si="0"/>
        <v>0</v>
      </c>
      <c r="T17" s="6"/>
    </row>
    <row r="18" spans="1:20" x14ac:dyDescent="0.25">
      <c r="A18">
        <v>611200</v>
      </c>
      <c r="B18" t="s">
        <v>129</v>
      </c>
      <c r="C18">
        <v>0</v>
      </c>
      <c r="D18" s="6">
        <f>C18*I9</f>
        <v>0</v>
      </c>
      <c r="E18" s="6"/>
      <c r="F18" s="6">
        <v>0</v>
      </c>
      <c r="G18" s="6">
        <f>ROUND((I9*$C$1)*F18,0)</f>
        <v>0</v>
      </c>
      <c r="H18" s="6"/>
      <c r="I18" s="6">
        <v>0</v>
      </c>
      <c r="J18" s="6">
        <f>ROUND((I9*$C$1*$C$1)*I18,0)</f>
        <v>0</v>
      </c>
      <c r="K18" s="6"/>
      <c r="L18" s="6">
        <v>0</v>
      </c>
      <c r="M18" s="6">
        <f>ROUND(($I9*$C$1*$C$1*$C$1)*L18,0)</f>
        <v>0</v>
      </c>
      <c r="N18" s="6"/>
      <c r="O18" s="6">
        <v>0</v>
      </c>
      <c r="P18" s="6">
        <f>ROUND((I9*$C$1*$C$1*$C$1*$C$1)*O18,0)</f>
        <v>0</v>
      </c>
      <c r="Q18" s="6"/>
      <c r="R18" s="6"/>
      <c r="S18" s="6">
        <f t="shared" si="0"/>
        <v>0</v>
      </c>
      <c r="T18" s="6"/>
    </row>
    <row r="19" spans="1:20" x14ac:dyDescent="0.25">
      <c r="A19">
        <v>611200</v>
      </c>
      <c r="B19" t="s">
        <v>129</v>
      </c>
      <c r="C19">
        <v>0</v>
      </c>
      <c r="D19" s="6">
        <f>C19*I10</f>
        <v>0</v>
      </c>
      <c r="E19" s="6"/>
      <c r="F19" s="6">
        <v>0</v>
      </c>
      <c r="G19" s="6">
        <f>ROUND((I10*$C$1)*F19,0)</f>
        <v>0</v>
      </c>
      <c r="H19" s="6"/>
      <c r="I19" s="6">
        <v>0</v>
      </c>
      <c r="J19" s="6">
        <f>ROUND((I10*$C$1*$C$1)*I19,0)</f>
        <v>0</v>
      </c>
      <c r="K19" s="6"/>
      <c r="L19" s="6">
        <v>0</v>
      </c>
      <c r="M19" s="6">
        <f>ROUND(($I10*$C$1*$C$1*$C$1)*L19,0)</f>
        <v>0</v>
      </c>
      <c r="N19" s="6"/>
      <c r="O19" s="6">
        <v>0</v>
      </c>
      <c r="P19" s="6">
        <f>ROUND((I10*$C$1*$C$1*$C$1*$C$1)*O19,0)</f>
        <v>0</v>
      </c>
      <c r="Q19" s="6"/>
      <c r="R19" s="6"/>
      <c r="S19" s="6">
        <f t="shared" si="0"/>
        <v>0</v>
      </c>
      <c r="T19" s="6"/>
    </row>
    <row r="20" spans="1:20" x14ac:dyDescent="0.25">
      <c r="A20">
        <v>611410</v>
      </c>
      <c r="B20" s="2" t="s">
        <v>130</v>
      </c>
      <c r="D20" s="6">
        <v>0</v>
      </c>
      <c r="E20" s="6"/>
      <c r="F20" s="6"/>
      <c r="G20" s="6">
        <f>ROUND((D20*C1),0)</f>
        <v>0</v>
      </c>
      <c r="H20" s="6"/>
      <c r="I20" s="6"/>
      <c r="J20" s="6">
        <f>ROUND((G20*C1),0)</f>
        <v>0</v>
      </c>
      <c r="K20" s="6"/>
      <c r="L20" s="6"/>
      <c r="M20" s="6">
        <f>ROUND((J20*C1),0)</f>
        <v>0</v>
      </c>
      <c r="N20" s="6"/>
      <c r="O20" s="6"/>
      <c r="P20" s="6">
        <f>ROUND((M20*C1),0)</f>
        <v>0</v>
      </c>
      <c r="Q20" s="6"/>
      <c r="R20" s="6"/>
      <c r="S20" s="6">
        <f>SUM(D20,G20,J20,M20,P20)</f>
        <v>0</v>
      </c>
      <c r="T20" s="6"/>
    </row>
    <row r="21" spans="1:20" x14ac:dyDescent="0.25">
      <c r="A21">
        <v>611441</v>
      </c>
      <c r="B21" s="2" t="s">
        <v>131</v>
      </c>
      <c r="C21">
        <v>0</v>
      </c>
      <c r="D21" s="6">
        <f>C21*M7</f>
        <v>0</v>
      </c>
      <c r="E21" s="6"/>
      <c r="F21" s="6">
        <v>0</v>
      </c>
      <c r="G21" s="6">
        <f>ROUND((D21*C2),0)</f>
        <v>0</v>
      </c>
      <c r="H21" s="6"/>
      <c r="I21" s="6">
        <v>0</v>
      </c>
      <c r="J21" s="6">
        <f>ROUND((I21*M7*C2*C2),0)</f>
        <v>0</v>
      </c>
      <c r="K21" s="6"/>
      <c r="L21" s="6">
        <v>0</v>
      </c>
      <c r="M21" s="6">
        <f>ROUND((L21*M7*C2*C2*C2),0)</f>
        <v>0</v>
      </c>
      <c r="N21" s="6"/>
      <c r="O21" s="6">
        <v>0</v>
      </c>
      <c r="P21" s="6">
        <f>ROUND((O21*M7*C2*C2*C2*C2),0)</f>
        <v>0</v>
      </c>
      <c r="Q21" s="6"/>
      <c r="R21" s="6"/>
      <c r="S21" s="6">
        <f t="shared" si="0"/>
        <v>0</v>
      </c>
      <c r="T21" s="6"/>
    </row>
    <row r="22" spans="1:20" x14ac:dyDescent="0.25">
      <c r="A22">
        <v>611440</v>
      </c>
      <c r="B22" s="2" t="s">
        <v>132</v>
      </c>
      <c r="C22">
        <v>0</v>
      </c>
      <c r="D22" s="6">
        <f>C22*O7</f>
        <v>0</v>
      </c>
      <c r="E22" s="6"/>
      <c r="F22" s="6">
        <v>0</v>
      </c>
      <c r="G22" s="6">
        <f>ROUND((D22*C2),0)</f>
        <v>0</v>
      </c>
      <c r="H22" s="6"/>
      <c r="I22" s="6">
        <v>0</v>
      </c>
      <c r="J22" s="6">
        <f>ROUND((I22*O7*C2*C2),0)</f>
        <v>0</v>
      </c>
      <c r="K22" s="6"/>
      <c r="L22" s="6">
        <v>0</v>
      </c>
      <c r="M22" s="6">
        <f>ROUND((L22*O7*C2*C2*C2),0)</f>
        <v>0</v>
      </c>
      <c r="N22" s="6"/>
      <c r="O22" s="6">
        <v>0</v>
      </c>
      <c r="P22" s="6">
        <f>ROUND((O21*O7*C2*C2*C2*C2),0)</f>
        <v>0</v>
      </c>
      <c r="Q22" s="6"/>
      <c r="R22" s="6"/>
      <c r="S22" s="6">
        <f t="shared" si="0"/>
        <v>0</v>
      </c>
      <c r="T22" s="6"/>
    </row>
    <row r="23" spans="1:20" x14ac:dyDescent="0.25">
      <c r="B23" s="1" t="s">
        <v>133</v>
      </c>
      <c r="C23" s="1"/>
      <c r="D23" s="7">
        <f>SUM(D15:D22)</f>
        <v>0</v>
      </c>
      <c r="E23" s="7"/>
      <c r="F23" s="7"/>
      <c r="G23" s="7">
        <f>SUM(G15:G22)</f>
        <v>0</v>
      </c>
      <c r="H23" s="7"/>
      <c r="I23" s="7"/>
      <c r="J23" s="7">
        <f>SUM(J15:J22)</f>
        <v>0</v>
      </c>
      <c r="K23" s="7"/>
      <c r="L23" s="7"/>
      <c r="M23" s="7">
        <f>SUM(M15:M22)</f>
        <v>0</v>
      </c>
      <c r="N23" s="7"/>
      <c r="O23" s="7"/>
      <c r="P23" s="7">
        <f>SUM(P15:P22)</f>
        <v>0</v>
      </c>
      <c r="Q23" s="7"/>
      <c r="R23" s="7"/>
      <c r="S23" s="7">
        <f t="shared" si="0"/>
        <v>0</v>
      </c>
      <c r="T23" s="6"/>
    </row>
    <row r="24" spans="1:20" x14ac:dyDescent="0.25">
      <c r="D24" s="6"/>
      <c r="E24" s="6"/>
      <c r="F24" s="6"/>
      <c r="G24" s="6"/>
      <c r="H24" s="6"/>
      <c r="I24" s="6"/>
      <c r="J24" s="6"/>
      <c r="K24" s="6"/>
      <c r="L24" s="6"/>
      <c r="M24" s="6"/>
      <c r="N24" s="6"/>
      <c r="O24" s="6"/>
      <c r="P24" s="6"/>
      <c r="Q24" s="6"/>
      <c r="R24" s="6"/>
      <c r="S24" s="6"/>
      <c r="T24" s="6"/>
    </row>
    <row r="25" spans="1:20" x14ac:dyDescent="0.25">
      <c r="B25" s="1" t="s">
        <v>134</v>
      </c>
      <c r="D25" s="6"/>
      <c r="E25" s="6"/>
      <c r="F25" s="6"/>
      <c r="G25" s="6"/>
      <c r="H25" s="6"/>
      <c r="I25" s="6"/>
      <c r="J25" s="6"/>
      <c r="K25" s="6"/>
      <c r="L25" s="6"/>
      <c r="M25" s="6"/>
      <c r="N25" s="6"/>
      <c r="O25" s="6"/>
      <c r="P25" s="6"/>
      <c r="Q25" s="6"/>
      <c r="R25" s="6"/>
      <c r="S25" s="6"/>
      <c r="T25" s="6"/>
    </row>
    <row r="26" spans="1:20" x14ac:dyDescent="0.25">
      <c r="B26" t="s">
        <v>99</v>
      </c>
      <c r="D26" s="6">
        <f>ROUND((D15*0.0765),0)</f>
        <v>0</v>
      </c>
      <c r="E26" s="6"/>
      <c r="F26" s="6"/>
      <c r="G26" s="6">
        <f>ROUND((G15*0.0765),0)</f>
        <v>0</v>
      </c>
      <c r="H26" s="6"/>
      <c r="I26" s="6"/>
      <c r="J26" s="6">
        <f>ROUND((J15*0.0765),0)</f>
        <v>0</v>
      </c>
      <c r="K26" s="6"/>
      <c r="L26" s="6"/>
      <c r="M26" s="6">
        <f>ROUND((M15*0.0765),0)</f>
        <v>0</v>
      </c>
      <c r="N26" s="6"/>
      <c r="O26" s="6"/>
      <c r="P26" s="6">
        <f>ROUND((P15*0.0765),0)</f>
        <v>0</v>
      </c>
      <c r="Q26" s="6"/>
      <c r="R26" s="6"/>
      <c r="S26" s="6">
        <f t="shared" ref="S26:S86" si="1">SUM(D26,G26,J26,M26,P26)</f>
        <v>0</v>
      </c>
      <c r="T26" s="6"/>
    </row>
    <row r="27" spans="1:20" x14ac:dyDescent="0.25">
      <c r="B27" s="2" t="s">
        <v>135</v>
      </c>
      <c r="D27" s="6">
        <f>D16*0</f>
        <v>0</v>
      </c>
      <c r="E27" s="6"/>
      <c r="F27" s="6"/>
      <c r="G27" s="6">
        <f>G16*0</f>
        <v>0</v>
      </c>
      <c r="H27" s="6"/>
      <c r="I27" s="6"/>
      <c r="J27" s="6">
        <f>J16*0</f>
        <v>0</v>
      </c>
      <c r="K27" s="6"/>
      <c r="L27" s="6"/>
      <c r="M27" s="6">
        <f>M16*0</f>
        <v>0</v>
      </c>
      <c r="N27" s="6"/>
      <c r="O27" s="6"/>
      <c r="P27" s="6">
        <f>P16*0</f>
        <v>0</v>
      </c>
      <c r="Q27" s="6"/>
      <c r="R27" s="6"/>
      <c r="S27" s="6"/>
      <c r="T27" s="6"/>
    </row>
    <row r="28" spans="1:20" x14ac:dyDescent="0.25">
      <c r="B28" s="2" t="s">
        <v>107</v>
      </c>
      <c r="D28" s="6">
        <f>ROUND((D17*0.4),0)</f>
        <v>0</v>
      </c>
      <c r="E28" s="6"/>
      <c r="F28" s="6"/>
      <c r="G28" s="6">
        <f>ROUND((G17*0.4),0)</f>
        <v>0</v>
      </c>
      <c r="H28" s="6"/>
      <c r="I28" s="6"/>
      <c r="J28" s="6">
        <f>ROUND((J17*0.4),0)</f>
        <v>0</v>
      </c>
      <c r="K28" s="6"/>
      <c r="L28" s="6"/>
      <c r="M28" s="6">
        <f>ROUND((M17*0.4),0)</f>
        <v>0</v>
      </c>
      <c r="N28" s="6"/>
      <c r="O28" s="6"/>
      <c r="P28" s="6">
        <f>ROUND((P17*0.4),0)</f>
        <v>0</v>
      </c>
      <c r="Q28" s="6"/>
      <c r="R28" s="6"/>
      <c r="S28" s="6">
        <f t="shared" si="1"/>
        <v>0</v>
      </c>
      <c r="T28" s="6"/>
    </row>
    <row r="29" spans="1:20" x14ac:dyDescent="0.25">
      <c r="B29" t="s">
        <v>129</v>
      </c>
      <c r="D29" s="6">
        <f>ROUND((D18*0.0765),0)</f>
        <v>0</v>
      </c>
      <c r="E29" s="6"/>
      <c r="F29" s="6"/>
      <c r="G29" s="6">
        <f>ROUND((G18*0.0765),0)</f>
        <v>0</v>
      </c>
      <c r="H29" s="6"/>
      <c r="I29" s="6"/>
      <c r="J29" s="6">
        <f>ROUND((J18*0.0765),0)</f>
        <v>0</v>
      </c>
      <c r="K29" s="6"/>
      <c r="L29" s="6"/>
      <c r="M29" s="6">
        <f>ROUND((M18*0.0765),0)</f>
        <v>0</v>
      </c>
      <c r="N29" s="6"/>
      <c r="O29" s="6"/>
      <c r="P29" s="6">
        <f>ROUND((P18*0.0765),0)</f>
        <v>0</v>
      </c>
      <c r="Q29" s="6"/>
      <c r="R29" s="6"/>
      <c r="S29" s="6">
        <f t="shared" si="1"/>
        <v>0</v>
      </c>
      <c r="T29" s="6"/>
    </row>
    <row r="30" spans="1:20" x14ac:dyDescent="0.25">
      <c r="B30" t="s">
        <v>129</v>
      </c>
      <c r="D30" s="6">
        <f>ROUND((D19*0.0765),0)</f>
        <v>0</v>
      </c>
      <c r="E30" s="6"/>
      <c r="F30" s="6"/>
      <c r="G30" s="6">
        <f>ROUND((G19*0.0765),0)</f>
        <v>0</v>
      </c>
      <c r="H30" s="6"/>
      <c r="I30" s="6"/>
      <c r="J30" s="6">
        <f>ROUND((J19*0.0765),0)</f>
        <v>0</v>
      </c>
      <c r="K30" s="6"/>
      <c r="L30" s="6"/>
      <c r="M30" s="6">
        <f>ROUND((M19*0.0765),0)</f>
        <v>0</v>
      </c>
      <c r="N30" s="6"/>
      <c r="O30" s="6"/>
      <c r="P30" s="6">
        <f>ROUND((P19*0.0765),0)</f>
        <v>0</v>
      </c>
      <c r="Q30" s="6"/>
      <c r="R30" s="6"/>
      <c r="S30" s="6">
        <f t="shared" si="1"/>
        <v>0</v>
      </c>
      <c r="T30" s="6"/>
    </row>
    <row r="31" spans="1:20" x14ac:dyDescent="0.25">
      <c r="B31" s="2" t="s">
        <v>136</v>
      </c>
      <c r="D31" s="6">
        <f>ROUND((D20*0.0765),0)</f>
        <v>0</v>
      </c>
      <c r="E31" s="6"/>
      <c r="F31" s="6"/>
      <c r="G31" s="6">
        <f>ROUND((G20*0.0765),0)</f>
        <v>0</v>
      </c>
      <c r="H31" s="6"/>
      <c r="I31" s="6"/>
      <c r="J31" s="6">
        <f>ROUND((J20*0.0765),0)</f>
        <v>0</v>
      </c>
      <c r="K31" s="6"/>
      <c r="L31" s="6"/>
      <c r="M31" s="6">
        <f>ROUND((M20*0.0765),0)</f>
        <v>0</v>
      </c>
      <c r="N31" s="6"/>
      <c r="O31" s="6"/>
      <c r="P31" s="6">
        <f>ROUND((P20*0.0765),0)</f>
        <v>0</v>
      </c>
      <c r="Q31" s="6"/>
      <c r="R31" s="6"/>
      <c r="S31" s="6">
        <f t="shared" si="1"/>
        <v>0</v>
      </c>
      <c r="T31" s="6"/>
    </row>
    <row r="32" spans="1:20" x14ac:dyDescent="0.25">
      <c r="B32" s="2" t="s">
        <v>131</v>
      </c>
      <c r="D32" s="6">
        <f>ROUND((D21*0.4*0.0765),0)</f>
        <v>0</v>
      </c>
      <c r="E32" s="6"/>
      <c r="F32" s="6"/>
      <c r="G32" s="6">
        <f>ROUND((G21*0.4*0.0765),0)</f>
        <v>0</v>
      </c>
      <c r="H32" s="6"/>
      <c r="I32" s="6"/>
      <c r="J32" s="6">
        <f>ROUND((J21*0.4*0.0765),0)</f>
        <v>0</v>
      </c>
      <c r="K32" s="6"/>
      <c r="L32" s="6"/>
      <c r="M32" s="6">
        <f>ROUND((M21*0.4*0.0765),0)</f>
        <v>0</v>
      </c>
      <c r="N32" s="6"/>
      <c r="O32" s="6"/>
      <c r="P32" s="6">
        <f>ROUND((P21*0.4*0.0765),0)</f>
        <v>0</v>
      </c>
      <c r="Q32" s="6"/>
      <c r="R32" s="6"/>
      <c r="S32" s="6">
        <f t="shared" si="1"/>
        <v>0</v>
      </c>
      <c r="T32" s="6"/>
    </row>
    <row r="33" spans="1:20" x14ac:dyDescent="0.25">
      <c r="B33" s="2" t="s">
        <v>132</v>
      </c>
      <c r="D33" s="6">
        <f>ROUND((D22*0.0765),0)</f>
        <v>0</v>
      </c>
      <c r="E33" s="6"/>
      <c r="F33" s="6"/>
      <c r="G33" s="6">
        <f>ROUND((G22*0.0765),0)</f>
        <v>0</v>
      </c>
      <c r="H33" s="6"/>
      <c r="I33" s="6"/>
      <c r="J33" s="6">
        <f>ROUND((J22*0.0765),0)</f>
        <v>0</v>
      </c>
      <c r="K33" s="6"/>
      <c r="L33" s="6"/>
      <c r="M33" s="6">
        <f>ROUND((M22*0.0765),0)</f>
        <v>0</v>
      </c>
      <c r="N33" s="6"/>
      <c r="O33" s="6"/>
      <c r="P33" s="6">
        <f>ROUND((P22*0.0765),0)</f>
        <v>0</v>
      </c>
      <c r="Q33" s="6"/>
      <c r="R33" s="6"/>
      <c r="S33" s="6">
        <f t="shared" si="1"/>
        <v>0</v>
      </c>
      <c r="T33" s="6"/>
    </row>
    <row r="34" spans="1:20" x14ac:dyDescent="0.25">
      <c r="A34">
        <v>611100</v>
      </c>
      <c r="B34" s="1" t="s">
        <v>137</v>
      </c>
      <c r="C34" s="1"/>
      <c r="D34" s="7">
        <f>SUM(D26:D33)</f>
        <v>0</v>
      </c>
      <c r="E34" s="7"/>
      <c r="F34" s="7"/>
      <c r="G34" s="7">
        <f>SUM(G26:G33)</f>
        <v>0</v>
      </c>
      <c r="H34" s="7"/>
      <c r="I34" s="7"/>
      <c r="J34" s="7">
        <f>SUM(J26:J33)</f>
        <v>0</v>
      </c>
      <c r="K34" s="7"/>
      <c r="L34" s="7"/>
      <c r="M34" s="7">
        <f>SUM(M26:M33)</f>
        <v>0</v>
      </c>
      <c r="N34" s="7"/>
      <c r="O34" s="7"/>
      <c r="P34" s="7">
        <f>SUM(P26:P33)</f>
        <v>0</v>
      </c>
      <c r="Q34" s="7"/>
      <c r="R34" s="7"/>
      <c r="S34" s="7">
        <f t="shared" si="1"/>
        <v>0</v>
      </c>
      <c r="T34" s="6"/>
    </row>
    <row r="35" spans="1:20" x14ac:dyDescent="0.25">
      <c r="D35" s="6"/>
      <c r="E35" s="6"/>
      <c r="F35" s="6"/>
      <c r="G35" s="6"/>
      <c r="H35" s="6"/>
      <c r="I35" s="6"/>
      <c r="J35" s="6"/>
      <c r="K35" s="6"/>
      <c r="L35" s="6"/>
      <c r="M35" s="6"/>
      <c r="N35" s="6"/>
      <c r="O35" s="6"/>
      <c r="P35" s="6"/>
      <c r="Q35" s="6"/>
      <c r="R35" s="6"/>
      <c r="S35" s="6"/>
      <c r="T35" s="6"/>
    </row>
    <row r="36" spans="1:20" x14ac:dyDescent="0.25">
      <c r="B36" s="1" t="s">
        <v>138</v>
      </c>
      <c r="C36" s="1"/>
      <c r="D36" s="7">
        <f>SUM(D23,D34)</f>
        <v>0</v>
      </c>
      <c r="E36" s="7"/>
      <c r="F36" s="7"/>
      <c r="G36" s="7">
        <f>SUM(G23,G34)</f>
        <v>0</v>
      </c>
      <c r="H36" s="7"/>
      <c r="I36" s="7"/>
      <c r="J36" s="7">
        <f>SUM(J23,J34)</f>
        <v>0</v>
      </c>
      <c r="K36" s="7"/>
      <c r="L36" s="7"/>
      <c r="M36" s="7">
        <f>SUM(M23,M34)</f>
        <v>0</v>
      </c>
      <c r="N36" s="7"/>
      <c r="O36" s="7"/>
      <c r="P36" s="7">
        <f>SUM(P23,P34)</f>
        <v>0</v>
      </c>
      <c r="Q36" s="7"/>
      <c r="R36" s="7"/>
      <c r="S36" s="7">
        <f t="shared" si="1"/>
        <v>0</v>
      </c>
      <c r="T36" s="6"/>
    </row>
    <row r="37" spans="1:20" x14ac:dyDescent="0.25">
      <c r="D37" s="6"/>
      <c r="E37" s="6"/>
      <c r="F37" s="6"/>
      <c r="G37" s="6"/>
      <c r="H37" s="6"/>
      <c r="I37" s="6"/>
      <c r="J37" s="6"/>
      <c r="K37" s="6"/>
      <c r="L37" s="6"/>
      <c r="M37" s="6"/>
      <c r="N37" s="6"/>
      <c r="O37" s="6"/>
      <c r="P37" s="6"/>
      <c r="Q37" s="6"/>
      <c r="R37" s="6"/>
      <c r="S37" s="6"/>
      <c r="T37" s="6"/>
    </row>
    <row r="38" spans="1:20" x14ac:dyDescent="0.25">
      <c r="B38" s="1" t="s">
        <v>43</v>
      </c>
      <c r="D38" s="6"/>
      <c r="E38" s="6"/>
      <c r="F38" s="6"/>
      <c r="G38" s="6"/>
      <c r="H38" s="6"/>
      <c r="I38" s="6"/>
      <c r="J38" s="6"/>
      <c r="K38" s="6"/>
      <c r="L38" s="6"/>
      <c r="M38" s="6"/>
      <c r="N38" s="6"/>
      <c r="O38" s="6"/>
      <c r="P38" s="6"/>
      <c r="Q38" s="6"/>
      <c r="R38" s="6"/>
      <c r="S38" s="6"/>
      <c r="T38" s="6"/>
    </row>
    <row r="39" spans="1:20" x14ac:dyDescent="0.25">
      <c r="B39" s="2" t="s">
        <v>139</v>
      </c>
      <c r="D39" s="6">
        <f>SUM('Travel Estimator'!H5:H8)</f>
        <v>0</v>
      </c>
      <c r="E39" s="6"/>
      <c r="F39" s="6"/>
      <c r="G39" s="6">
        <f>ROUND((SUM('Travel Estimator'!H13:H16)*$C$5),0)</f>
        <v>0</v>
      </c>
      <c r="H39" s="6"/>
      <c r="I39" s="6"/>
      <c r="J39" s="6">
        <f>ROUND((SUM('Travel Estimator'!H21:H24)*$C$5*$C$5),0)</f>
        <v>0</v>
      </c>
      <c r="K39" s="6"/>
      <c r="L39" s="6"/>
      <c r="M39" s="6">
        <f>ROUND((SUM('Travel Estimator'!H29:H32)*$C$5*$C$5*$C$5),0)</f>
        <v>0</v>
      </c>
      <c r="N39" s="6"/>
      <c r="O39" s="6"/>
      <c r="P39" s="6">
        <f>ROUND((SUM('Travel Estimator'!H37:H40)*$C$5*$C$5*$C$5*$C$5),0)</f>
        <v>0</v>
      </c>
      <c r="Q39" s="6"/>
      <c r="R39" s="6"/>
      <c r="S39" s="12">
        <f t="shared" si="1"/>
        <v>0</v>
      </c>
      <c r="T39" s="6"/>
    </row>
    <row r="40" spans="1:20" x14ac:dyDescent="0.25">
      <c r="B40" s="2" t="s">
        <v>140</v>
      </c>
      <c r="D40" s="6">
        <f>SUM('Travel Estimator'!H9:H10)</f>
        <v>0</v>
      </c>
      <c r="E40" s="6"/>
      <c r="F40" s="6"/>
      <c r="G40" s="6">
        <f>ROUND((SUM('Travel Estimator'!H17:H18)*$C$5),0)</f>
        <v>0</v>
      </c>
      <c r="H40" s="6"/>
      <c r="I40" s="6"/>
      <c r="J40" s="6">
        <f>ROUND((SUM('Travel Estimator'!H25:H26)*$C$5*$C$5),0)</f>
        <v>0</v>
      </c>
      <c r="K40" s="6"/>
      <c r="L40" s="6"/>
      <c r="M40" s="6">
        <f>ROUND((SUM('Travel Estimator'!H33:H34)*$C$5*$C$5*$C$5),0)</f>
        <v>0</v>
      </c>
      <c r="N40" s="6"/>
      <c r="O40" s="6"/>
      <c r="P40" s="6">
        <f>ROUND((SUM('Travel Estimator'!H41:H42)*$C$5*$C$5*$C$5*$C$5),0)</f>
        <v>0</v>
      </c>
      <c r="Q40" s="6"/>
      <c r="R40" s="6"/>
      <c r="S40" s="12">
        <f t="shared" si="1"/>
        <v>0</v>
      </c>
      <c r="T40" s="6"/>
    </row>
    <row r="41" spans="1:20" x14ac:dyDescent="0.25">
      <c r="A41">
        <v>712800</v>
      </c>
      <c r="B41" s="1" t="s">
        <v>141</v>
      </c>
      <c r="C41" s="1"/>
      <c r="D41" s="7">
        <f>SUM(D39:D40)</f>
        <v>0</v>
      </c>
      <c r="E41" s="7"/>
      <c r="F41" s="7"/>
      <c r="G41" s="7">
        <f>SUM(G39:G40)</f>
        <v>0</v>
      </c>
      <c r="H41" s="7"/>
      <c r="I41" s="7"/>
      <c r="J41" s="7">
        <f>SUM(J39:J40)</f>
        <v>0</v>
      </c>
      <c r="K41" s="7"/>
      <c r="L41" s="7"/>
      <c r="M41" s="7">
        <f>SUM(M39:M40)</f>
        <v>0</v>
      </c>
      <c r="N41" s="7"/>
      <c r="O41" s="7"/>
      <c r="P41" s="7">
        <f>SUM(P39:P40)</f>
        <v>0</v>
      </c>
      <c r="Q41" s="7"/>
      <c r="R41" s="7"/>
      <c r="S41" s="7">
        <f t="shared" si="1"/>
        <v>0</v>
      </c>
      <c r="T41" s="6"/>
    </row>
    <row r="42" spans="1:20" x14ac:dyDescent="0.25">
      <c r="B42" s="1"/>
      <c r="D42" s="6"/>
      <c r="E42" s="6"/>
      <c r="F42" s="6"/>
      <c r="G42" s="6"/>
      <c r="H42" s="6"/>
      <c r="I42" s="6"/>
      <c r="J42" s="6"/>
      <c r="K42" s="6"/>
      <c r="L42" s="6"/>
      <c r="M42" s="6"/>
      <c r="N42" s="6"/>
      <c r="O42" s="6"/>
      <c r="P42" s="6"/>
      <c r="Q42" s="6"/>
      <c r="R42" s="6"/>
      <c r="S42" s="6"/>
      <c r="T42" s="6"/>
    </row>
    <row r="43" spans="1:20" x14ac:dyDescent="0.25">
      <c r="A43">
        <v>722000</v>
      </c>
      <c r="B43" s="1" t="s">
        <v>142</v>
      </c>
      <c r="D43" s="13">
        <v>0</v>
      </c>
      <c r="E43" s="6"/>
      <c r="F43" s="6"/>
      <c r="G43" s="13">
        <v>0</v>
      </c>
      <c r="H43" s="6"/>
      <c r="I43" s="6"/>
      <c r="J43" s="13">
        <v>0</v>
      </c>
      <c r="K43" s="6"/>
      <c r="L43" s="6"/>
      <c r="M43" s="13">
        <v>0</v>
      </c>
      <c r="N43" s="6"/>
      <c r="O43" s="6"/>
      <c r="P43" s="13">
        <v>0</v>
      </c>
      <c r="Q43" s="6"/>
      <c r="R43" s="6"/>
      <c r="S43" s="13">
        <f t="shared" si="1"/>
        <v>0</v>
      </c>
      <c r="T43" s="6"/>
    </row>
    <row r="44" spans="1:20" x14ac:dyDescent="0.25">
      <c r="D44" s="6"/>
      <c r="E44" s="6"/>
      <c r="F44" s="6"/>
      <c r="G44" s="6"/>
      <c r="H44" s="6"/>
      <c r="I44" s="6"/>
      <c r="J44" s="6"/>
      <c r="K44" s="6"/>
      <c r="L44" s="6"/>
      <c r="M44" s="6"/>
      <c r="N44" s="6"/>
      <c r="O44" s="6"/>
      <c r="P44" s="6"/>
      <c r="Q44" s="6"/>
      <c r="R44" s="6"/>
      <c r="S44" s="6"/>
      <c r="T44" s="6"/>
    </row>
    <row r="45" spans="1:20" x14ac:dyDescent="0.25">
      <c r="B45" s="1" t="s">
        <v>143</v>
      </c>
      <c r="D45" s="6"/>
      <c r="E45" s="6"/>
      <c r="F45" s="6"/>
      <c r="G45" s="6"/>
      <c r="H45" s="6"/>
      <c r="I45" s="6"/>
      <c r="J45" s="6"/>
      <c r="K45" s="6"/>
      <c r="L45" s="6"/>
      <c r="M45" s="6"/>
      <c r="N45" s="6"/>
      <c r="O45" s="6"/>
      <c r="P45" s="6"/>
      <c r="Q45" s="6"/>
      <c r="R45" s="6"/>
      <c r="S45" s="6"/>
      <c r="T45" s="6"/>
    </row>
    <row r="46" spans="1:20" x14ac:dyDescent="0.25">
      <c r="A46">
        <v>714130</v>
      </c>
      <c r="B46" s="20" t="s">
        <v>41</v>
      </c>
      <c r="D46" s="13">
        <v>0</v>
      </c>
      <c r="E46" s="6"/>
      <c r="F46" s="6"/>
      <c r="G46" s="13">
        <v>0</v>
      </c>
      <c r="H46" s="6"/>
      <c r="I46" s="6"/>
      <c r="J46" s="13">
        <v>0</v>
      </c>
      <c r="K46" s="6"/>
      <c r="L46" s="6"/>
      <c r="M46" s="13">
        <v>0</v>
      </c>
      <c r="N46" s="6"/>
      <c r="O46" s="6"/>
      <c r="P46" s="13">
        <v>0</v>
      </c>
      <c r="Q46" s="6"/>
      <c r="R46" s="6"/>
      <c r="S46" s="13">
        <f t="shared" si="1"/>
        <v>0</v>
      </c>
      <c r="T46" s="6"/>
    </row>
    <row r="47" spans="1:20" x14ac:dyDescent="0.25">
      <c r="A47">
        <v>712831</v>
      </c>
      <c r="B47" s="20" t="s">
        <v>43</v>
      </c>
      <c r="D47" s="13">
        <v>0</v>
      </c>
      <c r="E47" s="6"/>
      <c r="F47" s="6"/>
      <c r="G47" s="13">
        <v>0</v>
      </c>
      <c r="H47" s="6"/>
      <c r="I47" s="6"/>
      <c r="J47" s="13">
        <v>0</v>
      </c>
      <c r="K47" s="6"/>
      <c r="L47" s="6"/>
      <c r="M47" s="13">
        <v>0</v>
      </c>
      <c r="N47" s="6"/>
      <c r="O47" s="6"/>
      <c r="P47" s="13">
        <v>0</v>
      </c>
      <c r="Q47" s="6"/>
      <c r="R47" s="6"/>
      <c r="S47" s="13">
        <f t="shared" si="1"/>
        <v>0</v>
      </c>
      <c r="T47" s="6"/>
    </row>
    <row r="48" spans="1:20" x14ac:dyDescent="0.25">
      <c r="A48">
        <v>712851</v>
      </c>
      <c r="B48" s="20" t="s">
        <v>45</v>
      </c>
      <c r="D48" s="13">
        <v>0</v>
      </c>
      <c r="E48" s="6"/>
      <c r="F48" s="6"/>
      <c r="G48" s="13">
        <v>0</v>
      </c>
      <c r="H48" s="6"/>
      <c r="I48" s="6"/>
      <c r="J48" s="13">
        <v>0</v>
      </c>
      <c r="K48" s="6"/>
      <c r="L48" s="6"/>
      <c r="M48" s="13">
        <v>0</v>
      </c>
      <c r="N48" s="6"/>
      <c r="O48" s="6"/>
      <c r="P48" s="13">
        <v>0</v>
      </c>
      <c r="Q48" s="6"/>
      <c r="R48" s="6"/>
      <c r="S48" s="13">
        <f t="shared" si="1"/>
        <v>0</v>
      </c>
      <c r="T48" s="6"/>
    </row>
    <row r="49" spans="1:20" x14ac:dyDescent="0.25">
      <c r="B49" s="2" t="s">
        <v>47</v>
      </c>
      <c r="D49" s="13">
        <v>0</v>
      </c>
      <c r="E49" s="6"/>
      <c r="F49" s="6"/>
      <c r="G49" s="13">
        <v>0</v>
      </c>
      <c r="H49" s="6"/>
      <c r="I49" s="6"/>
      <c r="J49" s="13">
        <v>0</v>
      </c>
      <c r="K49" s="6"/>
      <c r="L49" s="6"/>
      <c r="M49" s="13">
        <v>0</v>
      </c>
      <c r="N49" s="6"/>
      <c r="O49" s="6"/>
      <c r="P49" s="13">
        <v>0</v>
      </c>
      <c r="Q49" s="6"/>
      <c r="R49" s="6"/>
      <c r="S49" s="13">
        <f t="shared" si="1"/>
        <v>0</v>
      </c>
      <c r="T49" s="6"/>
    </row>
    <row r="50" spans="1:20" x14ac:dyDescent="0.25">
      <c r="B50" s="1" t="s">
        <v>144</v>
      </c>
      <c r="C50" s="1"/>
      <c r="D50" s="14">
        <f>SUM(D46:D49)</f>
        <v>0</v>
      </c>
      <c r="E50" s="7"/>
      <c r="F50" s="7"/>
      <c r="G50" s="14">
        <f>SUM(G46:G49)</f>
        <v>0</v>
      </c>
      <c r="H50" s="7"/>
      <c r="I50" s="7"/>
      <c r="J50" s="14">
        <f>SUM(J46:J49)</f>
        <v>0</v>
      </c>
      <c r="K50" s="7"/>
      <c r="L50" s="7"/>
      <c r="M50" s="14">
        <f>SUM(M46:M49)</f>
        <v>0</v>
      </c>
      <c r="N50" s="7"/>
      <c r="O50" s="7"/>
      <c r="P50" s="14">
        <f>SUM(P46:P49)</f>
        <v>0</v>
      </c>
      <c r="Q50" s="7"/>
      <c r="R50" s="7"/>
      <c r="S50" s="14">
        <f t="shared" si="1"/>
        <v>0</v>
      </c>
      <c r="T50" s="6"/>
    </row>
    <row r="51" spans="1:20" x14ac:dyDescent="0.25">
      <c r="B51" s="1"/>
      <c r="C51" s="1"/>
      <c r="D51" s="7"/>
      <c r="E51" s="7"/>
      <c r="F51" s="7"/>
      <c r="G51" s="7"/>
      <c r="H51" s="7"/>
      <c r="I51" s="7"/>
      <c r="J51" s="7"/>
      <c r="K51" s="7"/>
      <c r="L51" s="7"/>
      <c r="M51" s="7"/>
      <c r="N51" s="7"/>
      <c r="O51" s="7"/>
      <c r="P51" s="7"/>
      <c r="Q51" s="7"/>
      <c r="R51" s="7"/>
      <c r="S51" s="7"/>
      <c r="T51" s="6"/>
    </row>
    <row r="52" spans="1:20" x14ac:dyDescent="0.25">
      <c r="B52" s="1" t="s">
        <v>145</v>
      </c>
      <c r="C52" s="1"/>
      <c r="D52" s="7"/>
      <c r="E52" s="7"/>
      <c r="F52" s="7"/>
      <c r="G52" s="7"/>
      <c r="H52" s="7"/>
      <c r="I52" s="7"/>
      <c r="J52" s="7"/>
      <c r="K52" s="7"/>
      <c r="L52" s="7"/>
      <c r="M52" s="7"/>
      <c r="N52" s="7"/>
      <c r="O52" s="7"/>
      <c r="P52" s="7"/>
      <c r="Q52" s="7"/>
      <c r="R52" s="7"/>
      <c r="S52" s="7"/>
      <c r="T52" s="6"/>
    </row>
    <row r="53" spans="1:20" x14ac:dyDescent="0.25">
      <c r="B53" s="2" t="s">
        <v>146</v>
      </c>
      <c r="C53" s="1"/>
      <c r="D53" s="14"/>
      <c r="E53" s="7"/>
      <c r="F53" s="7"/>
      <c r="G53" s="14"/>
      <c r="H53" s="7"/>
      <c r="I53" s="7"/>
      <c r="J53" s="14"/>
      <c r="K53" s="7"/>
      <c r="L53" s="7"/>
      <c r="M53" s="14"/>
      <c r="N53" s="7"/>
      <c r="O53" s="7"/>
      <c r="P53" s="14"/>
      <c r="Q53" s="7"/>
      <c r="R53" s="7"/>
      <c r="S53" s="39">
        <f>SUM(D53,G53,J53,M53,P53)</f>
        <v>0</v>
      </c>
      <c r="T53" s="6"/>
    </row>
    <row r="54" spans="1:20" x14ac:dyDescent="0.25">
      <c r="B54" s="2" t="s">
        <v>147</v>
      </c>
      <c r="C54" s="1"/>
      <c r="D54" s="14"/>
      <c r="E54" s="7"/>
      <c r="F54" s="7"/>
      <c r="G54" s="14"/>
      <c r="H54" s="7"/>
      <c r="I54" s="7"/>
      <c r="J54" s="14"/>
      <c r="K54" s="7"/>
      <c r="L54" s="7"/>
      <c r="M54" s="14"/>
      <c r="N54" s="7"/>
      <c r="O54" s="7"/>
      <c r="P54" s="14"/>
      <c r="Q54" s="7"/>
      <c r="R54" s="7"/>
      <c r="S54" s="39">
        <f t="shared" ref="S54:S57" si="2">SUM(D54,G54,J54,M54,P54)</f>
        <v>0</v>
      </c>
      <c r="T54" s="6"/>
    </row>
    <row r="55" spans="1:20" x14ac:dyDescent="0.25">
      <c r="B55" s="2" t="s">
        <v>148</v>
      </c>
      <c r="C55" s="1"/>
      <c r="D55" s="14"/>
      <c r="E55" s="7"/>
      <c r="F55" s="7"/>
      <c r="G55" s="14"/>
      <c r="H55" s="7"/>
      <c r="I55" s="7"/>
      <c r="J55" s="14"/>
      <c r="K55" s="7"/>
      <c r="L55" s="7"/>
      <c r="M55" s="14"/>
      <c r="N55" s="7"/>
      <c r="O55" s="7"/>
      <c r="P55" s="14"/>
      <c r="Q55" s="7"/>
      <c r="R55" s="7"/>
      <c r="S55" s="39">
        <f t="shared" si="2"/>
        <v>0</v>
      </c>
      <c r="T55" s="6"/>
    </row>
    <row r="56" spans="1:20" x14ac:dyDescent="0.25">
      <c r="B56" s="2" t="s">
        <v>149</v>
      </c>
      <c r="C56" s="1"/>
      <c r="D56" s="14"/>
      <c r="E56" s="7"/>
      <c r="F56" s="7"/>
      <c r="G56" s="14"/>
      <c r="H56" s="7"/>
      <c r="I56" s="7"/>
      <c r="J56" s="14"/>
      <c r="K56" s="7"/>
      <c r="L56" s="7"/>
      <c r="M56" s="14"/>
      <c r="N56" s="7"/>
      <c r="O56" s="7"/>
      <c r="P56" s="14"/>
      <c r="Q56" s="7"/>
      <c r="R56" s="7"/>
      <c r="S56" s="39">
        <f t="shared" si="2"/>
        <v>0</v>
      </c>
      <c r="T56" s="6"/>
    </row>
    <row r="57" spans="1:20" x14ac:dyDescent="0.25">
      <c r="B57" s="1" t="s">
        <v>150</v>
      </c>
      <c r="C57" s="1"/>
      <c r="D57" s="14">
        <f>SUM(D53:D56)</f>
        <v>0</v>
      </c>
      <c r="E57" s="7"/>
      <c r="F57" s="7"/>
      <c r="G57" s="14">
        <f>SUM(G53:G56)</f>
        <v>0</v>
      </c>
      <c r="H57" s="7"/>
      <c r="I57" s="7"/>
      <c r="J57" s="14">
        <f>SUM(J53:J56)</f>
        <v>0</v>
      </c>
      <c r="K57" s="7"/>
      <c r="L57" s="7"/>
      <c r="M57" s="14">
        <f>SUM(M53:M56)</f>
        <v>0</v>
      </c>
      <c r="N57" s="7"/>
      <c r="O57" s="7"/>
      <c r="P57" s="14">
        <f>SUM(P53:P56)</f>
        <v>0</v>
      </c>
      <c r="Q57" s="7"/>
      <c r="R57" s="7"/>
      <c r="S57" s="14">
        <f t="shared" si="2"/>
        <v>0</v>
      </c>
      <c r="T57" s="6"/>
    </row>
    <row r="58" spans="1:20" x14ac:dyDescent="0.25">
      <c r="D58" s="6"/>
      <c r="E58" s="6"/>
      <c r="F58" s="6"/>
      <c r="G58" s="6"/>
      <c r="H58" s="6"/>
      <c r="I58" s="6"/>
      <c r="J58" s="6"/>
      <c r="K58" s="6"/>
      <c r="L58" s="6"/>
      <c r="M58" s="6"/>
      <c r="N58" s="6"/>
      <c r="O58" s="6"/>
      <c r="P58" s="6"/>
      <c r="Q58" s="6"/>
      <c r="R58" s="6"/>
      <c r="S58" s="6"/>
      <c r="T58" s="6"/>
    </row>
    <row r="59" spans="1:20" x14ac:dyDescent="0.25">
      <c r="B59" s="1" t="s">
        <v>151</v>
      </c>
      <c r="D59" s="6"/>
      <c r="E59" s="6"/>
      <c r="F59" s="6"/>
      <c r="G59" s="6"/>
      <c r="H59" s="6"/>
      <c r="I59" s="6"/>
      <c r="J59" s="6"/>
      <c r="K59" s="6"/>
      <c r="L59" s="6"/>
      <c r="M59" s="6"/>
      <c r="N59" s="6"/>
      <c r="O59" s="6"/>
      <c r="P59" s="6"/>
      <c r="Q59" s="6"/>
      <c r="R59" s="6"/>
      <c r="S59" s="6"/>
      <c r="T59" s="6"/>
    </row>
    <row r="60" spans="1:20" x14ac:dyDescent="0.25">
      <c r="A60">
        <v>713000</v>
      </c>
      <c r="B60" s="2" t="s">
        <v>152</v>
      </c>
      <c r="D60" s="6">
        <v>0</v>
      </c>
      <c r="E60" s="6"/>
      <c r="F60" s="6"/>
      <c r="G60" s="6">
        <v>0</v>
      </c>
      <c r="H60" s="6"/>
      <c r="I60" s="6"/>
      <c r="J60" s="6">
        <f>ROUND((G60*$C$5),0)</f>
        <v>0</v>
      </c>
      <c r="K60" s="6"/>
      <c r="L60" s="6"/>
      <c r="M60" s="6">
        <f>ROUND((J60*$C$5),0)</f>
        <v>0</v>
      </c>
      <c r="N60" s="6"/>
      <c r="O60" s="6"/>
      <c r="P60" s="6">
        <f>ROUND((M60*$C$5),0)</f>
        <v>0</v>
      </c>
      <c r="Q60" s="6"/>
      <c r="R60" s="6"/>
      <c r="S60" s="6">
        <f t="shared" si="1"/>
        <v>0</v>
      </c>
      <c r="T60" s="6"/>
    </row>
    <row r="61" spans="1:20" x14ac:dyDescent="0.25">
      <c r="A61">
        <v>713110</v>
      </c>
      <c r="B61" s="2" t="s">
        <v>153</v>
      </c>
      <c r="D61" s="6">
        <v>0</v>
      </c>
      <c r="E61" s="6"/>
      <c r="F61" s="6"/>
      <c r="G61" s="6">
        <v>0</v>
      </c>
      <c r="H61" s="6"/>
      <c r="I61" s="6"/>
      <c r="J61" s="6">
        <v>0</v>
      </c>
      <c r="K61" s="6"/>
      <c r="L61" s="6"/>
      <c r="M61" s="6">
        <v>0</v>
      </c>
      <c r="N61" s="6"/>
      <c r="O61" s="6"/>
      <c r="P61" s="6">
        <v>0</v>
      </c>
      <c r="Q61" s="6"/>
      <c r="R61" s="6"/>
      <c r="S61" s="6">
        <v>0</v>
      </c>
      <c r="T61" s="6"/>
    </row>
    <row r="62" spans="1:20" x14ac:dyDescent="0.25">
      <c r="A62">
        <v>712150</v>
      </c>
      <c r="B62" t="s">
        <v>154</v>
      </c>
      <c r="D62" s="6">
        <v>0</v>
      </c>
      <c r="E62" s="6"/>
      <c r="F62" s="6"/>
      <c r="G62" s="6">
        <f>ROUND((D62*$C$5),0)</f>
        <v>0</v>
      </c>
      <c r="H62" s="6"/>
      <c r="I62" s="6"/>
      <c r="J62" s="6">
        <f>ROUND((G62*$C$5),0)</f>
        <v>0</v>
      </c>
      <c r="K62" s="6"/>
      <c r="L62" s="6"/>
      <c r="M62" s="6">
        <f>ROUND((J62*$C$5),0)</f>
        <v>0</v>
      </c>
      <c r="N62" s="6"/>
      <c r="O62" s="6"/>
      <c r="P62" s="6">
        <f>ROUND((M62*$C$5),0)</f>
        <v>0</v>
      </c>
      <c r="Q62" s="6"/>
      <c r="R62" s="6"/>
      <c r="S62" s="6">
        <f t="shared" si="1"/>
        <v>0</v>
      </c>
      <c r="T62" s="6"/>
    </row>
    <row r="63" spans="1:20" x14ac:dyDescent="0.25">
      <c r="A63">
        <v>712687</v>
      </c>
      <c r="B63" s="2" t="s">
        <v>155</v>
      </c>
      <c r="D63" s="41">
        <v>0</v>
      </c>
      <c r="E63" s="6"/>
      <c r="F63" s="6"/>
      <c r="G63" s="41">
        <v>0</v>
      </c>
      <c r="H63" s="6"/>
      <c r="I63" s="6"/>
      <c r="J63" s="41">
        <v>0</v>
      </c>
      <c r="K63" s="6"/>
      <c r="L63" s="6"/>
      <c r="M63" s="41">
        <v>0</v>
      </c>
      <c r="N63" s="6"/>
      <c r="O63" s="6"/>
      <c r="P63" s="41">
        <v>0</v>
      </c>
      <c r="Q63" s="6"/>
      <c r="R63" s="6"/>
      <c r="S63" s="41">
        <v>0</v>
      </c>
      <c r="T63" s="6"/>
    </row>
    <row r="64" spans="1:20" s="4" customFormat="1" x14ac:dyDescent="0.25">
      <c r="A64" s="4">
        <v>712687</v>
      </c>
      <c r="B64" s="4" t="s">
        <v>156</v>
      </c>
      <c r="D64" s="42">
        <v>0</v>
      </c>
      <c r="E64" s="8"/>
      <c r="F64" s="8"/>
      <c r="G64" s="42">
        <v>0</v>
      </c>
      <c r="H64" s="8"/>
      <c r="I64" s="8"/>
      <c r="J64" s="42">
        <v>0</v>
      </c>
      <c r="K64" s="8"/>
      <c r="L64" s="8"/>
      <c r="M64" s="42">
        <v>0</v>
      </c>
      <c r="N64" s="8"/>
      <c r="O64" s="8"/>
      <c r="P64" s="42">
        <v>0</v>
      </c>
      <c r="Q64" s="8"/>
      <c r="R64" s="8"/>
      <c r="S64" s="42">
        <v>0</v>
      </c>
      <c r="T64" s="8"/>
    </row>
    <row r="65" spans="1:22" s="4" customFormat="1" x14ac:dyDescent="0.25">
      <c r="A65" s="4">
        <v>712687</v>
      </c>
      <c r="B65" s="4" t="s">
        <v>157</v>
      </c>
      <c r="D65" s="42">
        <v>0</v>
      </c>
      <c r="E65" s="8"/>
      <c r="F65" s="8"/>
      <c r="G65" s="42">
        <v>0</v>
      </c>
      <c r="H65" s="8"/>
      <c r="I65" s="8"/>
      <c r="J65" s="42">
        <v>0</v>
      </c>
      <c r="K65" s="8"/>
      <c r="L65" s="8"/>
      <c r="M65" s="42">
        <v>0</v>
      </c>
      <c r="N65" s="8"/>
      <c r="O65" s="8"/>
      <c r="P65" s="42">
        <v>0</v>
      </c>
      <c r="Q65" s="8"/>
      <c r="R65" s="8"/>
      <c r="S65" s="42">
        <v>0</v>
      </c>
      <c r="T65" s="8"/>
    </row>
    <row r="66" spans="1:22" x14ac:dyDescent="0.25">
      <c r="A66">
        <v>712000</v>
      </c>
      <c r="B66" s="2" t="s">
        <v>61</v>
      </c>
      <c r="D66" s="6">
        <v>0</v>
      </c>
      <c r="E66" s="6"/>
      <c r="F66" s="6"/>
      <c r="G66" s="6">
        <v>0</v>
      </c>
      <c r="H66" s="6"/>
      <c r="I66" s="6"/>
      <c r="J66" s="6">
        <v>0</v>
      </c>
      <c r="K66" s="6"/>
      <c r="L66" s="6"/>
      <c r="M66" s="6">
        <v>0</v>
      </c>
      <c r="N66" s="6"/>
      <c r="O66" s="6"/>
      <c r="P66" s="6">
        <v>0</v>
      </c>
      <c r="Q66" s="6"/>
      <c r="R66" s="6"/>
      <c r="S66" s="6">
        <f t="shared" si="1"/>
        <v>0</v>
      </c>
      <c r="T66" s="6"/>
    </row>
    <row r="67" spans="1:22" x14ac:dyDescent="0.25">
      <c r="A67" s="44" t="s">
        <v>158</v>
      </c>
      <c r="B67" s="2" t="s">
        <v>159</v>
      </c>
      <c r="D67" s="6">
        <v>0</v>
      </c>
      <c r="E67" s="6"/>
      <c r="F67" s="6"/>
      <c r="G67" s="6">
        <v>0</v>
      </c>
      <c r="H67" s="6"/>
      <c r="I67" s="6"/>
      <c r="J67" s="6">
        <v>0</v>
      </c>
      <c r="K67" s="6"/>
      <c r="L67" s="6"/>
      <c r="M67" s="6">
        <v>0</v>
      </c>
      <c r="N67" s="6"/>
      <c r="O67" s="6"/>
      <c r="P67" s="6">
        <v>0</v>
      </c>
      <c r="Q67" s="6"/>
      <c r="R67" s="6"/>
      <c r="S67" s="6">
        <f t="shared" si="1"/>
        <v>0</v>
      </c>
      <c r="T67" s="6"/>
    </row>
    <row r="68" spans="1:22" x14ac:dyDescent="0.25">
      <c r="A68">
        <v>715430</v>
      </c>
      <c r="B68" s="2" t="s">
        <v>160</v>
      </c>
      <c r="D68" s="6">
        <v>0</v>
      </c>
      <c r="E68" s="6"/>
      <c r="F68" s="6"/>
      <c r="G68" s="6">
        <v>0</v>
      </c>
      <c r="H68" s="6"/>
      <c r="I68" s="6"/>
      <c r="J68" s="6">
        <v>0</v>
      </c>
      <c r="K68" s="6"/>
      <c r="L68" s="6"/>
      <c r="M68" s="6">
        <v>0</v>
      </c>
      <c r="N68" s="6"/>
      <c r="O68" s="6"/>
      <c r="P68" s="6">
        <v>0</v>
      </c>
      <c r="Q68" s="6"/>
      <c r="R68" s="6"/>
      <c r="S68" s="6">
        <v>0</v>
      </c>
      <c r="T68" s="6"/>
    </row>
    <row r="69" spans="1:22" x14ac:dyDescent="0.25">
      <c r="A69">
        <v>714230</v>
      </c>
      <c r="B69" s="2" t="s">
        <v>67</v>
      </c>
      <c r="D69" s="13">
        <f>C21*M8</f>
        <v>0</v>
      </c>
      <c r="E69" s="6"/>
      <c r="F69" s="6"/>
      <c r="G69" s="13">
        <f>ROUND(F21*M8*C3,0)</f>
        <v>0</v>
      </c>
      <c r="H69" s="6"/>
      <c r="I69" s="6"/>
      <c r="J69" s="13">
        <f>ROUND(I21*M8*C3*C3,0)</f>
        <v>0</v>
      </c>
      <c r="K69" s="6"/>
      <c r="L69" s="6"/>
      <c r="M69" s="13">
        <f>ROUND(L21*M8*C3*C3*C3,0)</f>
        <v>0</v>
      </c>
      <c r="N69" s="6"/>
      <c r="O69" s="6"/>
      <c r="P69" s="13">
        <f>ROUND(O21*M8*C3*C3*C3*C3,0)</f>
        <v>0</v>
      </c>
      <c r="Q69" s="6"/>
      <c r="R69" s="6"/>
      <c r="S69" s="13">
        <f>SUM(D69,G69,J69,M69,P69)</f>
        <v>0</v>
      </c>
      <c r="T69" s="6"/>
    </row>
    <row r="70" spans="1:22" x14ac:dyDescent="0.25">
      <c r="A70">
        <v>712370</v>
      </c>
      <c r="B70" s="2" t="s">
        <v>161</v>
      </c>
      <c r="D70" s="6">
        <f>M9*C21</f>
        <v>0</v>
      </c>
      <c r="E70" s="6"/>
      <c r="F70" s="6"/>
      <c r="G70" s="6">
        <f>ROUND(F21*M9*C4,0)</f>
        <v>0</v>
      </c>
      <c r="H70" s="6"/>
      <c r="I70" s="6"/>
      <c r="J70" s="6">
        <f>ROUND(I21*M9*C4*C4,0)</f>
        <v>0</v>
      </c>
      <c r="K70" s="6"/>
      <c r="L70" s="6"/>
      <c r="M70" s="6">
        <f>ROUND(L21*M9*C4*C4*C4,0)</f>
        <v>0</v>
      </c>
      <c r="N70" s="6"/>
      <c r="O70" s="6"/>
      <c r="P70" s="6">
        <f>ROUND(O21*M9*C4*C4*C4*C4,0)</f>
        <v>0</v>
      </c>
      <c r="Q70" s="6"/>
      <c r="R70" s="6"/>
      <c r="S70" s="6">
        <f t="shared" ref="S70:S72" si="3">SUM(D70,G70,J70,M70,P70)</f>
        <v>0</v>
      </c>
      <c r="T70" s="6"/>
    </row>
    <row r="71" spans="1:22" x14ac:dyDescent="0.25">
      <c r="B71" t="s">
        <v>162</v>
      </c>
      <c r="D71" s="13">
        <f>C21*O8</f>
        <v>0</v>
      </c>
      <c r="E71" s="6"/>
      <c r="F71" s="6"/>
      <c r="G71" s="13">
        <f>ROUND(F21*O8*C5,0)</f>
        <v>0</v>
      </c>
      <c r="H71" s="6"/>
      <c r="I71" s="6"/>
      <c r="J71" s="13">
        <f>ROUND(I21*O8*C5*C5,0)</f>
        <v>0</v>
      </c>
      <c r="K71" s="6"/>
      <c r="L71" s="6"/>
      <c r="M71" s="13">
        <f>ROUND(L21*O8*C5*C5*C5,0)</f>
        <v>0</v>
      </c>
      <c r="N71" s="6"/>
      <c r="O71" s="6"/>
      <c r="P71" s="13">
        <f>ROUND(O21*O8*C5*C5*C5*C5,0)</f>
        <v>0</v>
      </c>
      <c r="Q71" s="6"/>
      <c r="R71" s="6"/>
      <c r="S71" s="13">
        <f t="shared" si="3"/>
        <v>0</v>
      </c>
      <c r="T71" s="6"/>
    </row>
    <row r="72" spans="1:22" x14ac:dyDescent="0.25">
      <c r="B72" t="s">
        <v>163</v>
      </c>
      <c r="D72" s="13">
        <f>C21*O9</f>
        <v>0</v>
      </c>
      <c r="E72" s="6"/>
      <c r="F72" s="6"/>
      <c r="G72" s="13">
        <f>ROUND(F21*O9*C5,0)</f>
        <v>0</v>
      </c>
      <c r="H72" s="6"/>
      <c r="I72" s="6"/>
      <c r="J72" s="13">
        <f>ROUND(I21*O9*C5*C5,0)</f>
        <v>0</v>
      </c>
      <c r="K72" s="6"/>
      <c r="L72" s="6"/>
      <c r="M72" s="13">
        <f>ROUND(L21*O9*C5*C5*C5,0)</f>
        <v>0</v>
      </c>
      <c r="N72" s="6"/>
      <c r="O72" s="6"/>
      <c r="P72" s="13">
        <f>ROUND(O21*O9*C5*C5*C5*C5,0)</f>
        <v>0</v>
      </c>
      <c r="Q72" s="6"/>
      <c r="R72" s="6"/>
      <c r="S72" s="13">
        <f t="shared" si="3"/>
        <v>0</v>
      </c>
      <c r="T72" s="6"/>
    </row>
    <row r="73" spans="1:22" s="4" customFormat="1" x14ac:dyDescent="0.25">
      <c r="B73" s="4" t="s">
        <v>164</v>
      </c>
      <c r="D73" s="8">
        <f>SUM(D69:D72)</f>
        <v>0</v>
      </c>
      <c r="E73" s="8"/>
      <c r="F73" s="8"/>
      <c r="G73" s="8">
        <f>SUM(G69:G72)</f>
        <v>0</v>
      </c>
      <c r="H73" s="8"/>
      <c r="I73" s="8"/>
      <c r="J73" s="8">
        <f>SUM(J69:J72)</f>
        <v>0</v>
      </c>
      <c r="K73" s="8"/>
      <c r="L73" s="8"/>
      <c r="M73" s="8">
        <f>SUM(M69:M72)</f>
        <v>0</v>
      </c>
      <c r="N73" s="8"/>
      <c r="O73" s="8"/>
      <c r="P73" s="8">
        <f>SUM(P69:P72)</f>
        <v>0</v>
      </c>
      <c r="Q73" s="8"/>
      <c r="R73" s="8"/>
      <c r="S73" s="8">
        <f t="shared" si="1"/>
        <v>0</v>
      </c>
      <c r="T73" s="8"/>
    </row>
    <row r="74" spans="1:22" s="4" customFormat="1" x14ac:dyDescent="0.25">
      <c r="A74" s="2">
        <v>714180</v>
      </c>
      <c r="B74" s="2" t="s">
        <v>165</v>
      </c>
      <c r="D74" s="12">
        <v>0</v>
      </c>
      <c r="E74" s="12"/>
      <c r="F74" s="12"/>
      <c r="G74" s="12">
        <v>0</v>
      </c>
      <c r="H74" s="12"/>
      <c r="I74" s="12"/>
      <c r="J74" s="12">
        <v>0</v>
      </c>
      <c r="K74" s="12"/>
      <c r="L74" s="12"/>
      <c r="M74" s="12">
        <v>0</v>
      </c>
      <c r="N74" s="12"/>
      <c r="O74" s="12"/>
      <c r="P74" s="12">
        <v>0</v>
      </c>
      <c r="Q74" s="12"/>
      <c r="R74" s="8"/>
      <c r="S74" s="12">
        <f>SUM(P74,M74,J74,G74,D74)</f>
        <v>0</v>
      </c>
      <c r="T74" s="8"/>
    </row>
    <row r="75" spans="1:22" s="4" customFormat="1" x14ac:dyDescent="0.25">
      <c r="A75" s="2">
        <v>714180</v>
      </c>
      <c r="B75" s="2" t="s">
        <v>166</v>
      </c>
      <c r="D75" s="12">
        <v>0</v>
      </c>
      <c r="E75" s="12"/>
      <c r="F75" s="12"/>
      <c r="G75" s="12">
        <v>0</v>
      </c>
      <c r="H75" s="12"/>
      <c r="I75" s="12"/>
      <c r="J75" s="12">
        <v>0</v>
      </c>
      <c r="K75" s="12"/>
      <c r="L75" s="12"/>
      <c r="M75" s="12">
        <v>0</v>
      </c>
      <c r="N75" s="12"/>
      <c r="O75" s="12"/>
      <c r="P75" s="12">
        <v>0</v>
      </c>
      <c r="Q75" s="12"/>
      <c r="R75" s="8"/>
      <c r="S75" s="12">
        <f>SUM(P75,M75,J75,G75,D75)</f>
        <v>0</v>
      </c>
      <c r="T75" s="8"/>
    </row>
    <row r="76" spans="1:22" x14ac:dyDescent="0.25">
      <c r="B76" s="1" t="s">
        <v>167</v>
      </c>
      <c r="C76" s="1"/>
      <c r="D76" s="7">
        <f>SUM(D60:D72,D74:D75)</f>
        <v>0</v>
      </c>
      <c r="E76" s="7"/>
      <c r="F76" s="7"/>
      <c r="G76" s="7">
        <f>SUM(G60:G72,G74:G75)</f>
        <v>0</v>
      </c>
      <c r="H76" s="7"/>
      <c r="I76" s="7"/>
      <c r="J76" s="7">
        <f>SUM(J60:J72,J74:J75)</f>
        <v>0</v>
      </c>
      <c r="K76" s="7"/>
      <c r="L76" s="7"/>
      <c r="M76" s="7">
        <f>SUM(M60:M72,M74:M75)</f>
        <v>0</v>
      </c>
      <c r="N76" s="7"/>
      <c r="O76" s="7"/>
      <c r="P76" s="7">
        <f>SUM(P60:P72,P74:P75)</f>
        <v>0</v>
      </c>
      <c r="Q76" s="7"/>
      <c r="R76" s="7"/>
      <c r="S76" s="7">
        <f>SUM(D76,G76,J76,M76,P76)</f>
        <v>0</v>
      </c>
      <c r="T76" s="6"/>
    </row>
    <row r="77" spans="1:22" x14ac:dyDescent="0.25">
      <c r="D77" s="6"/>
      <c r="E77" s="6"/>
      <c r="F77" s="6"/>
      <c r="G77" s="6"/>
      <c r="H77" s="6"/>
      <c r="I77" s="6"/>
      <c r="J77" s="6"/>
      <c r="K77" s="6"/>
      <c r="L77" s="6"/>
      <c r="M77" s="6"/>
      <c r="N77" s="6"/>
      <c r="O77" s="6"/>
      <c r="P77" s="6"/>
      <c r="Q77" s="6"/>
      <c r="R77" s="6"/>
      <c r="S77" s="6"/>
      <c r="T77" s="6"/>
    </row>
    <row r="78" spans="1:22" x14ac:dyDescent="0.25">
      <c r="B78" s="1" t="s">
        <v>168</v>
      </c>
      <c r="C78" s="1"/>
      <c r="D78" s="7">
        <f>SUM(D36,D41,D43,D50,D57,D76)</f>
        <v>0</v>
      </c>
      <c r="E78" s="7"/>
      <c r="F78" s="7"/>
      <c r="G78" s="7">
        <f>SUM(G36,G41,G43,G50,G57,G76)</f>
        <v>0</v>
      </c>
      <c r="H78" s="7"/>
      <c r="I78" s="7"/>
      <c r="J78" s="7">
        <f>SUM(J36,J41,J43,J50,J57,J76)</f>
        <v>0</v>
      </c>
      <c r="K78" s="7"/>
      <c r="L78" s="7"/>
      <c r="M78" s="7">
        <f>SUM(M36,M41,M43,M50,M57,M76)</f>
        <v>0</v>
      </c>
      <c r="N78" s="7"/>
      <c r="O78" s="7"/>
      <c r="P78" s="7">
        <f>SUM(P36,P41,P43,P50,P57,P76)</f>
        <v>0</v>
      </c>
      <c r="Q78" s="7"/>
      <c r="R78" s="7"/>
      <c r="S78" s="7">
        <f>SUM(D78,G78,J78,M78,P78)</f>
        <v>0</v>
      </c>
      <c r="T78" s="6"/>
    </row>
    <row r="79" spans="1:22" x14ac:dyDescent="0.25">
      <c r="B79" s="43" t="s">
        <v>169</v>
      </c>
      <c r="D79" s="6"/>
      <c r="E79" s="8">
        <f>IF(D63&lt;25000,D63,25000)</f>
        <v>0</v>
      </c>
      <c r="F79" s="6"/>
      <c r="G79" s="6"/>
      <c r="H79" s="8">
        <f>IF(D63&lt;25000,IF(SUM(D63,G63)&lt;25000.01,G63,25000-D63),0)</f>
        <v>0</v>
      </c>
      <c r="I79" s="8"/>
      <c r="J79" s="8"/>
      <c r="K79" s="8">
        <f>IF(SUM(D63,G63)&lt;25000,IF(SUM(D63,G63,J63)&lt;25000.01,J63,25000-SUM(D63,G63)),0)</f>
        <v>0</v>
      </c>
      <c r="L79" s="8"/>
      <c r="M79" s="8"/>
      <c r="N79" s="8">
        <f>IF(SUM(D63,G63,J63)&lt;25000,IF(SUM(D63,G63,J63,M63)&lt;25000.01,M63,25000-SUM(D63,G63,J63)),0)</f>
        <v>0</v>
      </c>
      <c r="O79" s="8"/>
      <c r="P79" s="8"/>
      <c r="Q79" s="8">
        <f>IF(SUM(D63,G63,J63,M63)&lt;25000.01,IF(SUM(D63,G63,J63,M63,P63)&lt;25000.01,P63,25000-SUM(D63,G63,J63,M63)),0)</f>
        <v>0</v>
      </c>
      <c r="R79" s="6"/>
      <c r="S79" s="6"/>
      <c r="T79" s="6"/>
      <c r="V79" s="6">
        <f>SUM(E79:O79)</f>
        <v>0</v>
      </c>
    </row>
    <row r="80" spans="1:22" x14ac:dyDescent="0.25">
      <c r="B80" s="43" t="s">
        <v>170</v>
      </c>
      <c r="D80" s="6"/>
      <c r="E80" s="8">
        <f t="shared" ref="E80:E81" si="4">IF(D64&lt;25000,D64,25000)</f>
        <v>0</v>
      </c>
      <c r="F80" s="6"/>
      <c r="G80" s="6"/>
      <c r="H80" s="8">
        <f>IF(D64&lt;25000,IF(SUM(D64,G64)&lt;25000.01,G64,25000-D64),0)</f>
        <v>0</v>
      </c>
      <c r="I80" s="8"/>
      <c r="J80" s="8"/>
      <c r="K80" s="8">
        <f>IF(SUM(D64,G64)&lt;25000,IF(SUM(D64,G64,J64)&lt;25000.01,J64,25000-SUM(D64,G64)),0)</f>
        <v>0</v>
      </c>
      <c r="L80" s="8"/>
      <c r="M80" s="8"/>
      <c r="N80" s="8">
        <f>IF(SUM(D64,G64,J64)&lt;25000,IF(SUM(D64,G64,J64,M64)&lt;25000.01,M64,25000-SUM(D64,G64,J64)),0)</f>
        <v>0</v>
      </c>
      <c r="O80" s="8"/>
      <c r="P80" s="8"/>
      <c r="Q80" s="8">
        <f>IF(SUM(D64,G64,J64,M64)&lt;25000.01,IF(SUM(D64,G64,J64,M64,P64)&lt;25000.01,P64,25000-SUM(D64,G64,J64,M64)),0)</f>
        <v>0</v>
      </c>
      <c r="R80" s="6"/>
      <c r="S80" s="6"/>
      <c r="T80" s="6"/>
      <c r="V80" s="6"/>
    </row>
    <row r="81" spans="1:250" x14ac:dyDescent="0.25">
      <c r="B81" s="43" t="s">
        <v>171</v>
      </c>
      <c r="D81" s="6"/>
      <c r="E81" s="8">
        <f t="shared" si="4"/>
        <v>0</v>
      </c>
      <c r="F81" s="6"/>
      <c r="G81" s="6"/>
      <c r="H81" s="8">
        <f>IF(D65&lt;25000,IF(SUM(D65,G65)&lt;25000.01,G65,25000-D65),0)</f>
        <v>0</v>
      </c>
      <c r="I81" s="8"/>
      <c r="J81" s="8"/>
      <c r="K81" s="8">
        <f>IF(SUM(D65,G65)&lt;25000,IF(SUM(D65,G65,J65)&lt;25000.01,J65,25000-SUM(D65,G65)),0)</f>
        <v>0</v>
      </c>
      <c r="L81" s="8"/>
      <c r="M81" s="8"/>
      <c r="N81" s="8">
        <f>IF(SUM(D65,G65,J65)&lt;25000,IF(SUM(D65,G65,J65,M65)&lt;25000.01,M65,25000-SUM(D65,G65,J65)),0)</f>
        <v>0</v>
      </c>
      <c r="O81" s="8"/>
      <c r="P81" s="8"/>
      <c r="Q81" s="8">
        <f>IF(SUM(D65,G65,J65,M65)&lt;25000.01,IF(SUM(D65,G65,J65,M65,P65)&lt;25000.01,P65,25000-SUM(D65,G65,J65,M65)),0)</f>
        <v>0</v>
      </c>
      <c r="R81" s="6"/>
      <c r="S81" s="6"/>
      <c r="T81" s="6"/>
      <c r="V81" s="6"/>
    </row>
    <row r="82" spans="1:250" x14ac:dyDescent="0.25">
      <c r="B82" s="10" t="s">
        <v>172</v>
      </c>
      <c r="C82" s="4"/>
      <c r="D82" s="8"/>
      <c r="E82" s="40">
        <f>D78-D69-D43-D50-D57-D71-D72-D63-D64-D65+E79+E80+E81</f>
        <v>0</v>
      </c>
      <c r="F82" s="8"/>
      <c r="G82" s="8"/>
      <c r="H82" s="40">
        <f>G78-G69-G43-G50-G57-G71-G72-G63-G64-G65+H79+H80+H81</f>
        <v>0</v>
      </c>
      <c r="I82" s="8"/>
      <c r="J82" s="8"/>
      <c r="K82" s="40">
        <f>J78-J69-J43-J50-J57-J71-J72-J63-J64-J65+K79+K80+K81</f>
        <v>0</v>
      </c>
      <c r="L82" s="8"/>
      <c r="M82" s="8"/>
      <c r="N82" s="40">
        <f>M78-M69-M43-M50-M57-M71-M72-M63-M64-M65+N79+N80+N81</f>
        <v>0</v>
      </c>
      <c r="O82" s="8"/>
      <c r="P82" s="8"/>
      <c r="Q82" s="40">
        <f>P78-P69-P43-P50-P57-P71-P72-P63-P64-P65+Q79+Q80+Q81</f>
        <v>0</v>
      </c>
      <c r="R82" s="8"/>
      <c r="S82" s="8"/>
      <c r="T82" s="6"/>
    </row>
    <row r="83" spans="1:250" x14ac:dyDescent="0.25">
      <c r="D83" s="6"/>
      <c r="E83" s="6"/>
      <c r="F83" s="6"/>
      <c r="G83" s="6"/>
      <c r="H83" s="6"/>
      <c r="I83" s="6"/>
      <c r="J83" s="6"/>
      <c r="K83" s="6"/>
      <c r="L83" s="6"/>
      <c r="M83" s="6"/>
      <c r="N83" s="6"/>
      <c r="O83" s="6"/>
      <c r="P83" s="6"/>
      <c r="Q83" s="6"/>
      <c r="R83" s="6"/>
      <c r="S83" s="6"/>
      <c r="T83" s="6"/>
    </row>
    <row r="84" spans="1:250" x14ac:dyDescent="0.25">
      <c r="A84">
        <v>787000</v>
      </c>
      <c r="B84" s="1" t="s">
        <v>173</v>
      </c>
      <c r="C84" s="1"/>
      <c r="D84" s="7">
        <f>ROUND((E82*$G$4),0)</f>
        <v>0</v>
      </c>
      <c r="E84" s="7"/>
      <c r="F84" s="7"/>
      <c r="G84" s="7">
        <f>ROUND((H82*$G$4),0)</f>
        <v>0</v>
      </c>
      <c r="H84" s="7"/>
      <c r="I84" s="7"/>
      <c r="J84" s="7">
        <f>ROUND((K82*$G$4),0)</f>
        <v>0</v>
      </c>
      <c r="K84" s="7"/>
      <c r="L84" s="7"/>
      <c r="M84" s="7">
        <f>ROUND((N82*$G$4),0)</f>
        <v>0</v>
      </c>
      <c r="N84" s="7"/>
      <c r="O84" s="7"/>
      <c r="P84" s="7">
        <f>ROUND((Q82*$G$4),0)</f>
        <v>0</v>
      </c>
      <c r="Q84" s="7"/>
      <c r="R84" s="7"/>
      <c r="S84" s="7">
        <f t="shared" si="1"/>
        <v>0</v>
      </c>
      <c r="T84" s="6"/>
    </row>
    <row r="85" spans="1:250" x14ac:dyDescent="0.25">
      <c r="D85" s="6"/>
      <c r="E85" s="6"/>
      <c r="F85" s="6"/>
      <c r="G85" s="6"/>
      <c r="H85" s="6"/>
      <c r="I85" s="6"/>
      <c r="J85" s="6"/>
      <c r="K85" s="6"/>
      <c r="L85" s="6"/>
      <c r="M85" s="6"/>
      <c r="N85" s="6"/>
      <c r="O85" s="6"/>
      <c r="P85" s="6"/>
      <c r="Q85" s="6"/>
      <c r="R85" s="6"/>
      <c r="S85" s="6"/>
      <c r="T85" s="6"/>
    </row>
    <row r="86" spans="1:250" ht="13.8" x14ac:dyDescent="0.25">
      <c r="B86" s="15" t="s">
        <v>174</v>
      </c>
      <c r="C86" s="15"/>
      <c r="D86" s="16">
        <f>SUM(D78,D84)</f>
        <v>0</v>
      </c>
      <c r="E86" s="16"/>
      <c r="F86" s="16"/>
      <c r="G86" s="16">
        <f>SUM(G78,G84)</f>
        <v>0</v>
      </c>
      <c r="H86" s="16"/>
      <c r="I86" s="16"/>
      <c r="J86" s="16">
        <f>SUM(J78,J84)</f>
        <v>0</v>
      </c>
      <c r="K86" s="16"/>
      <c r="L86" s="16"/>
      <c r="M86" s="16">
        <f>SUM(M78,M84)</f>
        <v>0</v>
      </c>
      <c r="N86" s="16"/>
      <c r="O86" s="16"/>
      <c r="P86" s="16">
        <f>SUM(P78,P84)</f>
        <v>0</v>
      </c>
      <c r="Q86" s="16"/>
      <c r="R86" s="16"/>
      <c r="S86" s="16">
        <f t="shared" si="1"/>
        <v>0</v>
      </c>
      <c r="T86" s="7"/>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row>
  </sheetData>
  <sheetProtection formatCells="0" formatColumns="0" formatRows="0" insertHyperlinks="0" sort="0" autoFilter="0"/>
  <mergeCells count="2">
    <mergeCell ref="R1:S1"/>
    <mergeCell ref="R2:S2"/>
  </mergeCells>
  <phoneticPr fontId="2" type="noConversion"/>
  <printOptions gridLines="1"/>
  <pageMargins left="0.75" right="0.75" top="1" bottom="1" header="0.5" footer="0.5"/>
  <pageSetup scale="75"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73E76-22F6-4898-810F-F67E565F9FDD}">
  <dimension ref="A1:B5"/>
  <sheetViews>
    <sheetView tabSelected="1" workbookViewId="0">
      <selection activeCell="E13" sqref="E13"/>
    </sheetView>
  </sheetViews>
  <sheetFormatPr defaultRowHeight="13.2" x14ac:dyDescent="0.25"/>
  <cols>
    <col min="1" max="1" width="19.109375" bestFit="1" customWidth="1"/>
  </cols>
  <sheetData>
    <row r="1" spans="1:2" x14ac:dyDescent="0.25">
      <c r="A1" s="2" t="s">
        <v>175</v>
      </c>
      <c r="B1" s="11">
        <f>'Detailed Proposal Budget'!H7</f>
        <v>0</v>
      </c>
    </row>
    <row r="2" spans="1:2" x14ac:dyDescent="0.25">
      <c r="A2" s="2" t="s">
        <v>176</v>
      </c>
      <c r="B2" s="60">
        <f>B1*0.35</f>
        <v>0</v>
      </c>
    </row>
    <row r="3" spans="1:2" x14ac:dyDescent="0.25">
      <c r="A3" s="2" t="s">
        <v>177</v>
      </c>
      <c r="B3" s="61">
        <f>SUM(B1:B2)*0.8</f>
        <v>0</v>
      </c>
    </row>
    <row r="4" spans="1:2" x14ac:dyDescent="0.25">
      <c r="A4" s="2" t="s">
        <v>178</v>
      </c>
      <c r="B4">
        <v>5</v>
      </c>
    </row>
    <row r="5" spans="1:2" ht="39.6" x14ac:dyDescent="0.25">
      <c r="A5" s="64" t="s">
        <v>271</v>
      </c>
      <c r="B5">
        <f>B3/B4</f>
        <v>0</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H43"/>
  <sheetViews>
    <sheetView workbookViewId="0">
      <selection activeCell="G3" sqref="G3"/>
    </sheetView>
  </sheetViews>
  <sheetFormatPr defaultRowHeight="13.2" x14ac:dyDescent="0.25"/>
  <cols>
    <col min="1" max="1" width="45.88671875" customWidth="1"/>
    <col min="7" max="7" width="15.44140625" bestFit="1" customWidth="1"/>
  </cols>
  <sheetData>
    <row r="1" spans="1:8" x14ac:dyDescent="0.25">
      <c r="A1" t="s">
        <v>179</v>
      </c>
    </row>
    <row r="2" spans="1:8" x14ac:dyDescent="0.25">
      <c r="A2" t="s">
        <v>180</v>
      </c>
    </row>
    <row r="3" spans="1:8" x14ac:dyDescent="0.25">
      <c r="B3" s="2" t="s">
        <v>181</v>
      </c>
      <c r="C3" s="2" t="s">
        <v>182</v>
      </c>
      <c r="D3" s="2" t="s">
        <v>183</v>
      </c>
      <c r="E3" s="2" t="s">
        <v>184</v>
      </c>
      <c r="F3" s="2" t="s">
        <v>185</v>
      </c>
      <c r="G3" s="2" t="s">
        <v>186</v>
      </c>
      <c r="H3" s="2" t="s">
        <v>187</v>
      </c>
    </row>
    <row r="4" spans="1:8" x14ac:dyDescent="0.25">
      <c r="A4" s="1" t="s">
        <v>188</v>
      </c>
    </row>
    <row r="5" spans="1:8" x14ac:dyDescent="0.25">
      <c r="A5" t="s">
        <v>189</v>
      </c>
      <c r="H5">
        <f>SUM((B5*C5*D5),(B5*C5*E5),(B5*F5),(B5*G5))</f>
        <v>0</v>
      </c>
    </row>
    <row r="6" spans="1:8" x14ac:dyDescent="0.25">
      <c r="A6" t="s">
        <v>190</v>
      </c>
      <c r="H6">
        <f t="shared" ref="H6:H42" si="0">SUM((B6*C6*D6),(B6*C6*E6),(B6*F6),(B6*G6))</f>
        <v>0</v>
      </c>
    </row>
    <row r="7" spans="1:8" x14ac:dyDescent="0.25">
      <c r="A7" t="s">
        <v>191</v>
      </c>
      <c r="H7">
        <f t="shared" si="0"/>
        <v>0</v>
      </c>
    </row>
    <row r="8" spans="1:8" x14ac:dyDescent="0.25">
      <c r="A8" t="s">
        <v>192</v>
      </c>
      <c r="H8">
        <f t="shared" si="0"/>
        <v>0</v>
      </c>
    </row>
    <row r="9" spans="1:8" x14ac:dyDescent="0.25">
      <c r="A9" s="4" t="s">
        <v>193</v>
      </c>
      <c r="B9" s="4"/>
      <c r="C9" s="4"/>
      <c r="D9" s="4"/>
      <c r="E9" s="4"/>
      <c r="F9" s="4"/>
      <c r="G9" s="4"/>
      <c r="H9" s="4">
        <f t="shared" si="0"/>
        <v>0</v>
      </c>
    </row>
    <row r="10" spans="1:8" x14ac:dyDescent="0.25">
      <c r="A10" s="4" t="s">
        <v>194</v>
      </c>
      <c r="B10" s="4"/>
      <c r="C10" s="4"/>
      <c r="D10" s="4"/>
      <c r="E10" s="4"/>
      <c r="F10" s="4"/>
      <c r="G10" s="4"/>
      <c r="H10" s="4">
        <f t="shared" si="0"/>
        <v>0</v>
      </c>
    </row>
    <row r="11" spans="1:8" x14ac:dyDescent="0.25">
      <c r="A11" s="21" t="s">
        <v>195</v>
      </c>
      <c r="H11" s="1">
        <f>SUM(H5:H10)</f>
        <v>0</v>
      </c>
    </row>
    <row r="12" spans="1:8" x14ac:dyDescent="0.25">
      <c r="A12" s="1" t="s">
        <v>196</v>
      </c>
    </row>
    <row r="13" spans="1:8" x14ac:dyDescent="0.25">
      <c r="A13" t="s">
        <v>189</v>
      </c>
      <c r="H13">
        <f t="shared" si="0"/>
        <v>0</v>
      </c>
    </row>
    <row r="14" spans="1:8" x14ac:dyDescent="0.25">
      <c r="A14" t="s">
        <v>190</v>
      </c>
      <c r="H14">
        <f t="shared" si="0"/>
        <v>0</v>
      </c>
    </row>
    <row r="15" spans="1:8" x14ac:dyDescent="0.25">
      <c r="A15" t="s">
        <v>191</v>
      </c>
      <c r="H15">
        <f t="shared" si="0"/>
        <v>0</v>
      </c>
    </row>
    <row r="16" spans="1:8" x14ac:dyDescent="0.25">
      <c r="A16" t="s">
        <v>192</v>
      </c>
      <c r="H16">
        <f t="shared" si="0"/>
        <v>0</v>
      </c>
    </row>
    <row r="17" spans="1:8" x14ac:dyDescent="0.25">
      <c r="A17" s="4" t="s">
        <v>193</v>
      </c>
      <c r="B17" s="4"/>
      <c r="C17" s="4"/>
      <c r="D17" s="4"/>
      <c r="E17" s="4"/>
      <c r="F17" s="4"/>
      <c r="G17" s="4"/>
      <c r="H17" s="4">
        <f t="shared" si="0"/>
        <v>0</v>
      </c>
    </row>
    <row r="18" spans="1:8" x14ac:dyDescent="0.25">
      <c r="A18" s="4" t="s">
        <v>194</v>
      </c>
      <c r="B18" s="4"/>
      <c r="C18" s="4"/>
      <c r="D18" s="4"/>
      <c r="E18" s="4"/>
      <c r="F18" s="4"/>
      <c r="G18" s="4"/>
      <c r="H18" s="4">
        <f t="shared" si="0"/>
        <v>0</v>
      </c>
    </row>
    <row r="19" spans="1:8" x14ac:dyDescent="0.25">
      <c r="A19" s="21" t="s">
        <v>196</v>
      </c>
      <c r="H19" s="1">
        <f>SUM(H13:H18)</f>
        <v>0</v>
      </c>
    </row>
    <row r="20" spans="1:8" x14ac:dyDescent="0.25">
      <c r="A20" s="1" t="s">
        <v>197</v>
      </c>
    </row>
    <row r="21" spans="1:8" x14ac:dyDescent="0.25">
      <c r="A21" t="s">
        <v>189</v>
      </c>
      <c r="H21">
        <f t="shared" si="0"/>
        <v>0</v>
      </c>
    </row>
    <row r="22" spans="1:8" x14ac:dyDescent="0.25">
      <c r="A22" t="s">
        <v>190</v>
      </c>
      <c r="H22">
        <f t="shared" si="0"/>
        <v>0</v>
      </c>
    </row>
    <row r="23" spans="1:8" x14ac:dyDescent="0.25">
      <c r="A23" t="s">
        <v>191</v>
      </c>
      <c r="H23">
        <f t="shared" si="0"/>
        <v>0</v>
      </c>
    </row>
    <row r="24" spans="1:8" x14ac:dyDescent="0.25">
      <c r="A24" t="s">
        <v>192</v>
      </c>
      <c r="H24">
        <f t="shared" si="0"/>
        <v>0</v>
      </c>
    </row>
    <row r="25" spans="1:8" x14ac:dyDescent="0.25">
      <c r="A25" s="4" t="s">
        <v>193</v>
      </c>
      <c r="B25" s="4"/>
      <c r="C25" s="4"/>
      <c r="D25" s="4"/>
      <c r="E25" s="4"/>
      <c r="F25" s="4"/>
      <c r="G25" s="4"/>
      <c r="H25" s="4">
        <f t="shared" si="0"/>
        <v>0</v>
      </c>
    </row>
    <row r="26" spans="1:8" x14ac:dyDescent="0.25">
      <c r="A26" s="4" t="s">
        <v>194</v>
      </c>
      <c r="B26" s="4"/>
      <c r="C26" s="4"/>
      <c r="D26" s="4"/>
      <c r="E26" s="4"/>
      <c r="F26" s="4"/>
      <c r="G26" s="4"/>
      <c r="H26" s="4">
        <f t="shared" si="0"/>
        <v>0</v>
      </c>
    </row>
    <row r="27" spans="1:8" x14ac:dyDescent="0.25">
      <c r="A27" s="21" t="s">
        <v>197</v>
      </c>
      <c r="H27" s="1">
        <f>SUM(H21:H26)</f>
        <v>0</v>
      </c>
    </row>
    <row r="28" spans="1:8" x14ac:dyDescent="0.25">
      <c r="A28" s="1" t="s">
        <v>198</v>
      </c>
    </row>
    <row r="29" spans="1:8" x14ac:dyDescent="0.25">
      <c r="A29" t="s">
        <v>189</v>
      </c>
      <c r="H29">
        <f t="shared" si="0"/>
        <v>0</v>
      </c>
    </row>
    <row r="30" spans="1:8" x14ac:dyDescent="0.25">
      <c r="A30" t="s">
        <v>190</v>
      </c>
      <c r="H30">
        <f t="shared" si="0"/>
        <v>0</v>
      </c>
    </row>
    <row r="31" spans="1:8" x14ac:dyDescent="0.25">
      <c r="A31" t="s">
        <v>191</v>
      </c>
      <c r="H31">
        <f t="shared" si="0"/>
        <v>0</v>
      </c>
    </row>
    <row r="32" spans="1:8" x14ac:dyDescent="0.25">
      <c r="A32" t="s">
        <v>192</v>
      </c>
      <c r="H32">
        <f t="shared" si="0"/>
        <v>0</v>
      </c>
    </row>
    <row r="33" spans="1:8" x14ac:dyDescent="0.25">
      <c r="A33" s="4" t="s">
        <v>193</v>
      </c>
      <c r="B33" s="4"/>
      <c r="C33" s="4"/>
      <c r="D33" s="4"/>
      <c r="E33" s="4"/>
      <c r="F33" s="4"/>
      <c r="G33" s="4"/>
      <c r="H33" s="4">
        <f t="shared" si="0"/>
        <v>0</v>
      </c>
    </row>
    <row r="34" spans="1:8" x14ac:dyDescent="0.25">
      <c r="A34" s="4" t="s">
        <v>194</v>
      </c>
      <c r="B34" s="4"/>
      <c r="C34" s="4"/>
      <c r="D34" s="4"/>
      <c r="E34" s="4"/>
      <c r="F34" s="4"/>
      <c r="G34" s="4"/>
      <c r="H34" s="4">
        <f t="shared" si="0"/>
        <v>0</v>
      </c>
    </row>
    <row r="35" spans="1:8" x14ac:dyDescent="0.25">
      <c r="A35" s="21" t="s">
        <v>198</v>
      </c>
      <c r="H35" s="1">
        <f>SUM(H29:H34)</f>
        <v>0</v>
      </c>
    </row>
    <row r="36" spans="1:8" x14ac:dyDescent="0.25">
      <c r="A36" s="1" t="s">
        <v>199</v>
      </c>
    </row>
    <row r="37" spans="1:8" x14ac:dyDescent="0.25">
      <c r="A37" t="s">
        <v>189</v>
      </c>
      <c r="H37">
        <f t="shared" si="0"/>
        <v>0</v>
      </c>
    </row>
    <row r="38" spans="1:8" x14ac:dyDescent="0.25">
      <c r="A38" t="s">
        <v>190</v>
      </c>
      <c r="H38">
        <f t="shared" si="0"/>
        <v>0</v>
      </c>
    </row>
    <row r="39" spans="1:8" x14ac:dyDescent="0.25">
      <c r="A39" t="s">
        <v>191</v>
      </c>
      <c r="H39">
        <f t="shared" si="0"/>
        <v>0</v>
      </c>
    </row>
    <row r="40" spans="1:8" x14ac:dyDescent="0.25">
      <c r="A40" t="s">
        <v>192</v>
      </c>
      <c r="H40">
        <f t="shared" si="0"/>
        <v>0</v>
      </c>
    </row>
    <row r="41" spans="1:8" x14ac:dyDescent="0.25">
      <c r="A41" s="4" t="s">
        <v>193</v>
      </c>
      <c r="B41" s="4"/>
      <c r="C41" s="4"/>
      <c r="D41" s="4"/>
      <c r="E41" s="4"/>
      <c r="F41" s="4"/>
      <c r="G41" s="4"/>
      <c r="H41" s="4">
        <f t="shared" si="0"/>
        <v>0</v>
      </c>
    </row>
    <row r="42" spans="1:8" x14ac:dyDescent="0.25">
      <c r="A42" s="4" t="s">
        <v>194</v>
      </c>
      <c r="B42" s="4"/>
      <c r="C42" s="4"/>
      <c r="D42" s="4"/>
      <c r="E42" s="4"/>
      <c r="F42" s="4"/>
      <c r="G42" s="4"/>
      <c r="H42" s="4">
        <f t="shared" si="0"/>
        <v>0</v>
      </c>
    </row>
    <row r="43" spans="1:8" x14ac:dyDescent="0.25">
      <c r="A43" s="21" t="s">
        <v>199</v>
      </c>
      <c r="H43" s="1">
        <f>SUM(H37:H42)</f>
        <v>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A65E3-4A32-46C6-A909-E7E49B4010F4}">
  <sheetPr>
    <tabColor theme="5" tint="0.39997558519241921"/>
  </sheetPr>
  <dimension ref="A1:K21"/>
  <sheetViews>
    <sheetView workbookViewId="0">
      <selection activeCell="A22" sqref="A22"/>
    </sheetView>
  </sheetViews>
  <sheetFormatPr defaultColWidth="9.109375" defaultRowHeight="14.4" x14ac:dyDescent="0.3"/>
  <cols>
    <col min="1" max="1" width="44.5546875" style="27" bestFit="1" customWidth="1"/>
    <col min="2" max="2" width="13" style="27" customWidth="1"/>
    <col min="3" max="3" width="9.109375" style="27"/>
    <col min="4" max="4" width="11.88671875" style="27" customWidth="1"/>
    <col min="5" max="7" width="9.109375" style="27"/>
    <col min="8" max="8" width="11.44140625" style="27" customWidth="1"/>
    <col min="9" max="9" width="13.109375" style="27" customWidth="1"/>
    <col min="10" max="10" width="9.109375" style="27"/>
    <col min="11" max="11" width="9.88671875" style="27" customWidth="1"/>
    <col min="12" max="16384" width="9.109375" style="27"/>
  </cols>
  <sheetData>
    <row r="1" spans="1:11" x14ac:dyDescent="0.3">
      <c r="A1" s="26" t="s">
        <v>200</v>
      </c>
    </row>
    <row r="2" spans="1:11" x14ac:dyDescent="0.3">
      <c r="A2" s="59" t="s">
        <v>201</v>
      </c>
      <c r="B2" s="28">
        <v>0</v>
      </c>
    </row>
    <row r="3" spans="1:11" x14ac:dyDescent="0.3">
      <c r="A3" s="59" t="s">
        <v>202</v>
      </c>
      <c r="B3" s="28"/>
      <c r="H3" s="69" t="s">
        <v>203</v>
      </c>
      <c r="I3" s="70"/>
    </row>
    <row r="4" spans="1:11" x14ac:dyDescent="0.3">
      <c r="A4" s="59" t="s">
        <v>204</v>
      </c>
      <c r="B4" s="28"/>
      <c r="H4" s="59" t="s">
        <v>184</v>
      </c>
      <c r="I4" s="59">
        <v>91</v>
      </c>
    </row>
    <row r="5" spans="1:11" x14ac:dyDescent="0.3">
      <c r="A5" s="59" t="s">
        <v>205</v>
      </c>
      <c r="B5" s="28"/>
      <c r="H5" s="59" t="s">
        <v>206</v>
      </c>
      <c r="I5" s="59">
        <v>64</v>
      </c>
    </row>
    <row r="6" spans="1:11" x14ac:dyDescent="0.3">
      <c r="A6" s="59" t="s">
        <v>207</v>
      </c>
      <c r="B6" s="28"/>
      <c r="H6" s="59" t="s">
        <v>208</v>
      </c>
      <c r="I6" s="29">
        <v>0.54500000000000004</v>
      </c>
    </row>
    <row r="7" spans="1:11" x14ac:dyDescent="0.3">
      <c r="A7" s="59" t="s">
        <v>209</v>
      </c>
      <c r="B7" s="28"/>
      <c r="I7" s="30"/>
    </row>
    <row r="8" spans="1:11" x14ac:dyDescent="0.3">
      <c r="A8" s="59" t="s">
        <v>210</v>
      </c>
      <c r="B8" s="59">
        <f>SUM(B3:B7)</f>
        <v>0</v>
      </c>
    </row>
    <row r="11" spans="1:11" x14ac:dyDescent="0.3">
      <c r="A11" s="26" t="s">
        <v>211</v>
      </c>
    </row>
    <row r="12" spans="1:11" ht="28.8" x14ac:dyDescent="0.3">
      <c r="A12" s="31" t="s">
        <v>212</v>
      </c>
      <c r="B12" s="32" t="s">
        <v>213</v>
      </c>
      <c r="C12" s="32" t="s">
        <v>214</v>
      </c>
      <c r="D12" s="32" t="s">
        <v>215</v>
      </c>
      <c r="E12" s="32" t="s">
        <v>216</v>
      </c>
      <c r="F12" s="32" t="s">
        <v>217</v>
      </c>
      <c r="G12" s="32" t="s">
        <v>218</v>
      </c>
      <c r="H12" s="32" t="s">
        <v>219</v>
      </c>
      <c r="I12" s="32" t="s">
        <v>220</v>
      </c>
      <c r="J12" s="32" t="s">
        <v>221</v>
      </c>
      <c r="K12" s="32" t="s">
        <v>210</v>
      </c>
    </row>
    <row r="13" spans="1:11" x14ac:dyDescent="0.3">
      <c r="A13" s="27" t="s">
        <v>222</v>
      </c>
      <c r="B13" s="33">
        <v>0</v>
      </c>
      <c r="C13" s="27">
        <v>0</v>
      </c>
      <c r="D13" s="33">
        <v>0</v>
      </c>
      <c r="E13" s="27">
        <f>IF(B2&gt;0,B2+1.5,0)</f>
        <v>0</v>
      </c>
      <c r="F13" s="33">
        <f>E13*$I$5</f>
        <v>0</v>
      </c>
      <c r="G13" s="27">
        <f>B2</f>
        <v>0</v>
      </c>
      <c r="H13" s="33">
        <f>G13*$I$4</f>
        <v>0</v>
      </c>
      <c r="I13" s="33">
        <f>SUM(B13,D13,F13,H13)</f>
        <v>0</v>
      </c>
      <c r="J13" s="27">
        <v>0</v>
      </c>
      <c r="K13" s="33">
        <f>J13*I13</f>
        <v>0</v>
      </c>
    </row>
    <row r="14" spans="1:11" x14ac:dyDescent="0.3">
      <c r="A14" s="27" t="s">
        <v>223</v>
      </c>
      <c r="B14" s="33">
        <v>0</v>
      </c>
      <c r="C14" s="27">
        <v>0</v>
      </c>
      <c r="D14" s="33">
        <v>0</v>
      </c>
      <c r="E14" s="27">
        <f>IF(B2&gt;0,B2+1.5,0)</f>
        <v>0</v>
      </c>
      <c r="F14" s="33">
        <f t="shared" ref="F14:F16" si="0">E14*$I$5</f>
        <v>0</v>
      </c>
      <c r="G14" s="27">
        <f>B2</f>
        <v>0</v>
      </c>
      <c r="H14" s="33">
        <f t="shared" ref="H14:H15" si="1">G14*$I$4</f>
        <v>0</v>
      </c>
      <c r="I14" s="33">
        <f t="shared" ref="I14:I16" si="2">SUM(B14,D14,F14,H14)</f>
        <v>0</v>
      </c>
      <c r="J14" s="27">
        <v>0</v>
      </c>
      <c r="K14" s="33">
        <f t="shared" ref="K14:K16" si="3">J14*I14</f>
        <v>0</v>
      </c>
    </row>
    <row r="15" spans="1:11" x14ac:dyDescent="0.3">
      <c r="A15" s="27" t="s">
        <v>224</v>
      </c>
      <c r="B15" s="33">
        <v>0</v>
      </c>
      <c r="C15" s="27">
        <v>0</v>
      </c>
      <c r="D15" s="33">
        <f>C15*$I$6</f>
        <v>0</v>
      </c>
      <c r="E15" s="27">
        <f>B2</f>
        <v>0</v>
      </c>
      <c r="F15" s="33">
        <f t="shared" si="0"/>
        <v>0</v>
      </c>
      <c r="G15" s="27">
        <f>B2</f>
        <v>0</v>
      </c>
      <c r="H15" s="33">
        <f t="shared" si="1"/>
        <v>0</v>
      </c>
      <c r="I15" s="33">
        <f t="shared" si="2"/>
        <v>0</v>
      </c>
      <c r="J15" s="27">
        <v>0</v>
      </c>
      <c r="K15" s="33">
        <f t="shared" si="3"/>
        <v>0</v>
      </c>
    </row>
    <row r="16" spans="1:11" x14ac:dyDescent="0.3">
      <c r="A16" s="27" t="s">
        <v>225</v>
      </c>
      <c r="B16" s="33">
        <v>0</v>
      </c>
      <c r="C16" s="27">
        <v>0</v>
      </c>
      <c r="D16" s="33">
        <f>C16*$I$6</f>
        <v>0</v>
      </c>
      <c r="E16" s="27">
        <f>B2</f>
        <v>0</v>
      </c>
      <c r="F16" s="33">
        <f t="shared" si="0"/>
        <v>0</v>
      </c>
      <c r="G16" s="27">
        <v>0</v>
      </c>
      <c r="H16" s="27">
        <f>G16*$I$4</f>
        <v>0</v>
      </c>
      <c r="I16" s="33">
        <f t="shared" si="2"/>
        <v>0</v>
      </c>
      <c r="J16" s="27">
        <v>0</v>
      </c>
      <c r="K16" s="33">
        <f t="shared" si="3"/>
        <v>0</v>
      </c>
    </row>
    <row r="17" spans="1:11" x14ac:dyDescent="0.3">
      <c r="A17" s="34" t="s">
        <v>226</v>
      </c>
      <c r="B17" s="35">
        <f>SUM(B13:B16)</f>
        <v>0</v>
      </c>
      <c r="C17" s="36"/>
      <c r="D17" s="35">
        <f>SUM(D13:D16)</f>
        <v>0</v>
      </c>
      <c r="E17" s="36"/>
      <c r="F17" s="35">
        <f>SUM(F13:F16)</f>
        <v>0</v>
      </c>
      <c r="G17" s="36"/>
      <c r="H17" s="35">
        <f>SUM(H13:H16)</f>
        <v>0</v>
      </c>
      <c r="I17" s="36"/>
      <c r="J17" s="36">
        <f>SUM(J13:J16)</f>
        <v>0</v>
      </c>
      <c r="K17" s="35">
        <f>SUM(K13:K16)</f>
        <v>0</v>
      </c>
    </row>
    <row r="19" spans="1:11" x14ac:dyDescent="0.3">
      <c r="A19" s="26" t="s">
        <v>151</v>
      </c>
      <c r="B19" s="37" t="s">
        <v>227</v>
      </c>
      <c r="C19" s="37" t="s">
        <v>228</v>
      </c>
      <c r="D19" s="37" t="s">
        <v>229</v>
      </c>
      <c r="E19" s="37" t="s">
        <v>187</v>
      </c>
    </row>
    <row r="20" spans="1:11" x14ac:dyDescent="0.3">
      <c r="A20" s="27" t="s">
        <v>230</v>
      </c>
      <c r="E20" s="27">
        <f>B20*C20*D20</f>
        <v>0</v>
      </c>
    </row>
    <row r="21" spans="1:11" x14ac:dyDescent="0.3">
      <c r="A21" s="38" t="s">
        <v>231</v>
      </c>
    </row>
  </sheetData>
  <mergeCells count="1">
    <mergeCell ref="H3:I3"/>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7A74E-4821-4F11-A18C-5C9B22F66724}">
  <sheetPr>
    <tabColor rgb="FFFFFF00"/>
  </sheetPr>
  <dimension ref="A1:L30"/>
  <sheetViews>
    <sheetView topLeftCell="A13" workbookViewId="0">
      <selection activeCell="F47" sqref="F47"/>
    </sheetView>
  </sheetViews>
  <sheetFormatPr defaultRowHeight="13.2" x14ac:dyDescent="0.25"/>
  <cols>
    <col min="1" max="1" width="30.44140625" customWidth="1"/>
  </cols>
  <sheetData>
    <row r="1" spans="1:12" x14ac:dyDescent="0.25">
      <c r="A1" s="72" t="s">
        <v>232</v>
      </c>
      <c r="B1" s="72"/>
      <c r="C1" s="72"/>
      <c r="D1" s="72"/>
      <c r="E1" s="72"/>
      <c r="F1" s="72"/>
      <c r="G1" s="72"/>
    </row>
    <row r="3" spans="1:12" ht="13.8" x14ac:dyDescent="0.25">
      <c r="A3" s="73" t="s">
        <v>233</v>
      </c>
      <c r="B3" s="74"/>
      <c r="C3" s="74"/>
      <c r="D3" s="74"/>
      <c r="E3" s="74"/>
      <c r="F3" s="74"/>
      <c r="G3" s="75"/>
      <c r="L3" s="4" t="s">
        <v>234</v>
      </c>
    </row>
    <row r="4" spans="1:12" ht="15.6" x14ac:dyDescent="0.3">
      <c r="A4" s="76">
        <f>'Detailed Proposal Budget'!C8</f>
        <v>0</v>
      </c>
      <c r="B4" s="77"/>
      <c r="C4" s="77"/>
      <c r="D4" s="77"/>
      <c r="E4" s="77"/>
      <c r="F4" s="77"/>
      <c r="G4" s="78"/>
    </row>
    <row r="5" spans="1:12" ht="15.6" x14ac:dyDescent="0.3">
      <c r="A5" s="46"/>
      <c r="B5" s="47" t="s">
        <v>235</v>
      </c>
      <c r="C5" s="47" t="s">
        <v>236</v>
      </c>
      <c r="D5" s="47" t="s">
        <v>237</v>
      </c>
      <c r="E5" s="47" t="s">
        <v>238</v>
      </c>
      <c r="F5" s="47" t="s">
        <v>239</v>
      </c>
      <c r="G5" s="48" t="s">
        <v>240</v>
      </c>
    </row>
    <row r="6" spans="1:12" ht="15.6" x14ac:dyDescent="0.3">
      <c r="A6" s="49" t="s">
        <v>241</v>
      </c>
      <c r="B6" s="50">
        <f>'Detailed Proposal Budget'!D23</f>
        <v>0</v>
      </c>
      <c r="C6" s="50">
        <f>'Detailed Proposal Budget'!G23</f>
        <v>0</v>
      </c>
      <c r="D6" s="50">
        <f>'Detailed Proposal Budget'!J23</f>
        <v>0</v>
      </c>
      <c r="E6" s="50">
        <f>'Detailed Proposal Budget'!M23</f>
        <v>0</v>
      </c>
      <c r="F6" s="50">
        <f>'Detailed Proposal Budget'!P23</f>
        <v>0</v>
      </c>
      <c r="G6" s="51">
        <f>SUM(B6:F6)</f>
        <v>0</v>
      </c>
    </row>
    <row r="7" spans="1:12" ht="15.6" x14ac:dyDescent="0.3">
      <c r="A7" s="49" t="s">
        <v>242</v>
      </c>
      <c r="B7" s="50">
        <f>'Detailed Proposal Budget'!D34</f>
        <v>0</v>
      </c>
      <c r="C7" s="50">
        <f>'Detailed Proposal Budget'!G34</f>
        <v>0</v>
      </c>
      <c r="D7" s="50">
        <f>'Detailed Proposal Budget'!J34</f>
        <v>0</v>
      </c>
      <c r="E7" s="50">
        <f>'Detailed Proposal Budget'!M34</f>
        <v>0</v>
      </c>
      <c r="F7" s="50">
        <f>'Detailed Proposal Budget'!P34</f>
        <v>0</v>
      </c>
      <c r="G7" s="51">
        <f t="shared" ref="G7:G11" si="0">SUM(B7:F7)</f>
        <v>0</v>
      </c>
    </row>
    <row r="8" spans="1:12" ht="15.6" x14ac:dyDescent="0.3">
      <c r="A8" s="49" t="s">
        <v>243</v>
      </c>
      <c r="B8" s="50">
        <f>'Detailed Proposal Budget'!D41</f>
        <v>0</v>
      </c>
      <c r="C8" s="50">
        <f>'Detailed Proposal Budget'!G41</f>
        <v>0</v>
      </c>
      <c r="D8" s="50">
        <f>'Detailed Proposal Budget'!J41</f>
        <v>0</v>
      </c>
      <c r="E8" s="50">
        <f>'Detailed Proposal Budget'!M41</f>
        <v>0</v>
      </c>
      <c r="F8" s="50">
        <f>'Detailed Proposal Budget'!P41</f>
        <v>0</v>
      </c>
      <c r="G8" s="51">
        <f t="shared" si="0"/>
        <v>0</v>
      </c>
    </row>
    <row r="9" spans="1:12" ht="15.6" x14ac:dyDescent="0.3">
      <c r="A9" s="49" t="s">
        <v>244</v>
      </c>
      <c r="B9" s="50">
        <f>'Detailed Proposal Budget'!D43</f>
        <v>0</v>
      </c>
      <c r="C9" s="50">
        <f>'Detailed Proposal Budget'!G43</f>
        <v>0</v>
      </c>
      <c r="D9" s="50">
        <f>'Detailed Proposal Budget'!J43</f>
        <v>0</v>
      </c>
      <c r="E9" s="50">
        <f>'Detailed Proposal Budget'!M43</f>
        <v>0</v>
      </c>
      <c r="F9" s="50">
        <f>'Detailed Proposal Budget'!P43</f>
        <v>0</v>
      </c>
      <c r="G9" s="51">
        <f t="shared" si="0"/>
        <v>0</v>
      </c>
    </row>
    <row r="10" spans="1:12" ht="15.6" x14ac:dyDescent="0.3">
      <c r="A10" s="49" t="s">
        <v>245</v>
      </c>
      <c r="B10" s="50">
        <f>'Detailed Proposal Budget'!D50</f>
        <v>0</v>
      </c>
      <c r="C10" s="50">
        <f>'Detailed Proposal Budget'!G50</f>
        <v>0</v>
      </c>
      <c r="D10" s="50">
        <f>'Detailed Proposal Budget'!J50</f>
        <v>0</v>
      </c>
      <c r="E10" s="50">
        <f>'Detailed Proposal Budget'!M50</f>
        <v>0</v>
      </c>
      <c r="F10" s="50">
        <f>'Detailed Proposal Budget'!P57</f>
        <v>0</v>
      </c>
      <c r="G10" s="51">
        <f t="shared" si="0"/>
        <v>0</v>
      </c>
    </row>
    <row r="11" spans="1:12" ht="15.6" x14ac:dyDescent="0.3">
      <c r="A11" s="49" t="s">
        <v>246</v>
      </c>
      <c r="B11" s="50">
        <f>'Detailed Proposal Budget'!D57</f>
        <v>0</v>
      </c>
      <c r="C11" s="50">
        <f>'Detailed Proposal Budget'!G57</f>
        <v>0</v>
      </c>
      <c r="D11" s="50">
        <f>'Detailed Proposal Budget'!J57</f>
        <v>0</v>
      </c>
      <c r="E11" s="50">
        <f>'Detailed Proposal Budget'!M57</f>
        <v>0</v>
      </c>
      <c r="F11" s="50">
        <f>'Detailed Proposal Budget'!P57</f>
        <v>0</v>
      </c>
      <c r="G11" s="51">
        <f t="shared" si="0"/>
        <v>0</v>
      </c>
    </row>
    <row r="12" spans="1:12" ht="15.6" x14ac:dyDescent="0.3">
      <c r="A12" s="49" t="s">
        <v>247</v>
      </c>
      <c r="B12" s="50">
        <f>'Detailed Proposal Budget'!D76</f>
        <v>0</v>
      </c>
      <c r="C12" s="50">
        <f>'Detailed Proposal Budget'!G76</f>
        <v>0</v>
      </c>
      <c r="D12" s="50">
        <f>'Detailed Proposal Budget'!J76</f>
        <v>0</v>
      </c>
      <c r="E12" s="50">
        <f>'Detailed Proposal Budget'!M76</f>
        <v>0</v>
      </c>
      <c r="F12" s="50">
        <f>'Detailed Proposal Budget'!P76</f>
        <v>0</v>
      </c>
      <c r="G12" s="51">
        <f t="shared" ref="G12:G14" si="1">SUM(B12:F12)</f>
        <v>0</v>
      </c>
    </row>
    <row r="13" spans="1:12" ht="15.6" x14ac:dyDescent="0.3">
      <c r="A13" s="49" t="s">
        <v>248</v>
      </c>
      <c r="B13" s="50">
        <f>SUM(B6:B12)</f>
        <v>0</v>
      </c>
      <c r="C13" s="50">
        <f t="shared" ref="C13:F13" si="2">SUM(C6:C12)</f>
        <v>0</v>
      </c>
      <c r="D13" s="50">
        <f t="shared" si="2"/>
        <v>0</v>
      </c>
      <c r="E13" s="50">
        <f t="shared" si="2"/>
        <v>0</v>
      </c>
      <c r="F13" s="50">
        <f t="shared" si="2"/>
        <v>0</v>
      </c>
      <c r="G13" s="51">
        <f t="shared" si="1"/>
        <v>0</v>
      </c>
    </row>
    <row r="14" spans="1:12" ht="16.2" x14ac:dyDescent="0.35">
      <c r="A14" s="52" t="s">
        <v>249</v>
      </c>
      <c r="B14" s="53">
        <f>'Detailed Proposal Budget'!D84</f>
        <v>0</v>
      </c>
      <c r="C14" s="53">
        <f>'Detailed Proposal Budget'!G84</f>
        <v>0</v>
      </c>
      <c r="D14" s="53">
        <f>'Detailed Proposal Budget'!J84</f>
        <v>0</v>
      </c>
      <c r="E14" s="53">
        <f>'Detailed Proposal Budget'!M84</f>
        <v>0</v>
      </c>
      <c r="F14" s="53">
        <f>'Detailed Proposal Budget'!P84</f>
        <v>0</v>
      </c>
      <c r="G14" s="51">
        <f t="shared" si="1"/>
        <v>0</v>
      </c>
    </row>
    <row r="15" spans="1:12" ht="15.6" x14ac:dyDescent="0.3">
      <c r="A15" s="54" t="s">
        <v>250</v>
      </c>
      <c r="B15" s="55">
        <f t="shared" ref="B15:F15" si="3">SUM(B13+B14)</f>
        <v>0</v>
      </c>
      <c r="C15" s="55">
        <f t="shared" si="3"/>
        <v>0</v>
      </c>
      <c r="D15" s="55">
        <f t="shared" si="3"/>
        <v>0</v>
      </c>
      <c r="E15" s="55">
        <f t="shared" si="3"/>
        <v>0</v>
      </c>
      <c r="F15" s="55">
        <f t="shared" si="3"/>
        <v>0</v>
      </c>
      <c r="G15" s="56">
        <f>SUM(G13+G14)</f>
        <v>0</v>
      </c>
    </row>
    <row r="18" spans="1:12" ht="13.8" x14ac:dyDescent="0.25">
      <c r="A18" s="80" t="s">
        <v>251</v>
      </c>
      <c r="B18" s="80"/>
      <c r="C18" s="80"/>
      <c r="D18" s="80"/>
      <c r="E18" s="80"/>
      <c r="F18" s="80"/>
      <c r="G18" s="80"/>
    </row>
    <row r="19" spans="1:12" x14ac:dyDescent="0.25">
      <c r="A19" s="79" t="s">
        <v>252</v>
      </c>
      <c r="B19" s="79"/>
      <c r="C19" s="79"/>
      <c r="D19" s="79"/>
      <c r="E19" s="79"/>
      <c r="F19" s="79"/>
      <c r="G19" s="79"/>
      <c r="L19" s="4" t="s">
        <v>253</v>
      </c>
    </row>
    <row r="20" spans="1:12" x14ac:dyDescent="0.25">
      <c r="A20" s="45" t="s">
        <v>254</v>
      </c>
      <c r="B20" s="71">
        <f>'Detailed Proposal Budget'!C8</f>
        <v>0</v>
      </c>
      <c r="C20" s="71"/>
      <c r="D20" s="71"/>
      <c r="E20" s="71"/>
      <c r="F20" s="71"/>
      <c r="G20" s="71"/>
      <c r="L20" s="57" t="s">
        <v>255</v>
      </c>
    </row>
    <row r="21" spans="1:12" x14ac:dyDescent="0.25">
      <c r="A21" s="1" t="s">
        <v>256</v>
      </c>
      <c r="B21" s="6">
        <f>'Detailed Proposal Budget'!S23</f>
        <v>0</v>
      </c>
      <c r="L21" s="2" t="s">
        <v>257</v>
      </c>
    </row>
    <row r="22" spans="1:12" x14ac:dyDescent="0.25">
      <c r="A22" s="1" t="s">
        <v>258</v>
      </c>
      <c r="B22" s="6">
        <f>'Detailed Proposal Budget'!S34</f>
        <v>0</v>
      </c>
      <c r="L22" s="2" t="s">
        <v>259</v>
      </c>
    </row>
    <row r="23" spans="1:12" x14ac:dyDescent="0.25">
      <c r="A23" s="1" t="s">
        <v>243</v>
      </c>
      <c r="B23" s="6">
        <f>'Detailed Proposal Budget'!S41</f>
        <v>0</v>
      </c>
      <c r="L23" s="2" t="s">
        <v>260</v>
      </c>
    </row>
    <row r="24" spans="1:12" x14ac:dyDescent="0.25">
      <c r="A24" s="1" t="s">
        <v>244</v>
      </c>
      <c r="B24" s="6">
        <f>'Detailed Proposal Budget'!S43</f>
        <v>0</v>
      </c>
      <c r="L24" s="2" t="s">
        <v>261</v>
      </c>
    </row>
    <row r="25" spans="1:12" x14ac:dyDescent="0.25">
      <c r="A25" s="1" t="s">
        <v>262</v>
      </c>
      <c r="B25" s="6">
        <f>SUM('Detailed Proposal Budget'!S60:S61)</f>
        <v>0</v>
      </c>
      <c r="L25" s="2" t="s">
        <v>263</v>
      </c>
    </row>
    <row r="26" spans="1:12" x14ac:dyDescent="0.25">
      <c r="A26" s="1" t="s">
        <v>264</v>
      </c>
      <c r="B26" s="6">
        <f>SUM('Detailed Proposal Budget'!S62,'Detailed Proposal Budget'!S63,'Detailed Proposal Budget'!S64,'Detailed Proposal Budget'!S65,'Detailed Proposal Budget'!S66,'Detailed Proposal Budget'!S68)</f>
        <v>0</v>
      </c>
      <c r="L26" s="2" t="s">
        <v>265</v>
      </c>
    </row>
    <row r="27" spans="1:12" x14ac:dyDescent="0.25">
      <c r="A27" s="1" t="s">
        <v>266</v>
      </c>
      <c r="B27" s="6">
        <f>SUM('Detailed Proposal Budget'!S50,'Detailed Proposal Budget'!S57,'Detailed Proposal Budget'!S67,'Detailed Proposal Budget'!S69,'Detailed Proposal Budget'!S70,'Detailed Proposal Budget'!S71,'Detailed Proposal Budget'!S72,'Detailed Proposal Budget'!S74,'Detailed Proposal Budget'!S75)</f>
        <v>0</v>
      </c>
      <c r="L27" s="2" t="s">
        <v>267</v>
      </c>
    </row>
    <row r="28" spans="1:12" x14ac:dyDescent="0.25">
      <c r="A28" s="1" t="s">
        <v>268</v>
      </c>
      <c r="B28" s="6">
        <f>SUM(B21:B27)</f>
        <v>0</v>
      </c>
    </row>
    <row r="29" spans="1:12" x14ac:dyDescent="0.25">
      <c r="A29" s="1" t="s">
        <v>269</v>
      </c>
      <c r="B29" s="6">
        <f>'Detailed Proposal Budget'!S84</f>
        <v>0</v>
      </c>
    </row>
    <row r="30" spans="1:12" x14ac:dyDescent="0.25">
      <c r="A30" s="1" t="s">
        <v>270</v>
      </c>
      <c r="B30" s="6">
        <f>SUM(B28:B29)</f>
        <v>0</v>
      </c>
    </row>
  </sheetData>
  <mergeCells count="6">
    <mergeCell ref="B20:G20"/>
    <mergeCell ref="A1:G1"/>
    <mergeCell ref="A3:G3"/>
    <mergeCell ref="A4:G4"/>
    <mergeCell ref="A19:G19"/>
    <mergeCell ref="A18:G18"/>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Budget Prep Guide</vt:lpstr>
      <vt:lpstr>Detailed Proposal Budget</vt:lpstr>
      <vt:lpstr>Course Buyout Calculator</vt:lpstr>
      <vt:lpstr>Travel Estimator</vt:lpstr>
      <vt:lpstr>Conference-Part. Suppt Budget</vt:lpstr>
      <vt:lpstr>Summary Budget</vt:lpstr>
    </vt:vector>
  </TitlesOfParts>
  <Manager/>
  <Company>College of William and Mary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Information Technology</dc:creator>
  <cp:keywords/>
  <dc:description/>
  <cp:lastModifiedBy>Viza Bastos Azznara, Elaine</cp:lastModifiedBy>
  <cp:revision/>
  <dcterms:created xsi:type="dcterms:W3CDTF">2003-06-19T18:19:52Z</dcterms:created>
  <dcterms:modified xsi:type="dcterms:W3CDTF">2024-08-16T15:09:28Z</dcterms:modified>
  <cp:category/>
  <cp:contentStatus/>
</cp:coreProperties>
</file>